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Arquivos\Documents\2026\ETP e TR\TERCEIRIZAÇÃO\"/>
    </mc:Choice>
  </mc:AlternateContent>
  <xr:revisionPtr revIDLastSave="0" documentId="13_ncr:1_{0AA19115-A5E6-44D2-90D3-FCDEEB525B56}" xr6:coauthVersionLast="47" xr6:coauthVersionMax="47" xr10:uidLastSave="{00000000-0000-0000-0000-000000000000}"/>
  <bookViews>
    <workbookView xWindow="-120" yWindow="-120" windowWidth="24240" windowHeight="13140" firstSheet="5" activeTab="7" xr2:uid="{00000000-000D-0000-FFFF-FFFF00000000}"/>
  </bookViews>
  <sheets>
    <sheet name="PLANILHA FORMAÇÃO DE PREÇO" sheetId="1" r:id="rId1"/>
    <sheet name="NOTAS EXPLICATIVAS" sheetId="2" r:id="rId2"/>
    <sheet name="CONTIGENCIAMENTO TRABALHISTA" sheetId="3" r:id="rId3"/>
    <sheet name="DETALHAMENTO TRANSPORTE" sheetId="4" r:id="rId4"/>
    <sheet name="DETALHAMENTO ALIMENTAÇÃO" sheetId="5" r:id="rId5"/>
    <sheet name="DETALHAMENTO ASS. MÉDICA" sheetId="6" r:id="rId6"/>
    <sheet name="DETALHAMENTO UNIFORMES" sheetId="7" r:id="rId7"/>
    <sheet name="DETALHAMENTO MATERIAIS-EPI-EQUI" sheetId="8" r:id="rId8"/>
  </sheets>
  <definedNames>
    <definedName name="ADM" localSheetId="4">#REF!</definedName>
    <definedName name="ADM" localSheetId="5">#REF!</definedName>
    <definedName name="ADM" localSheetId="7">#REF!</definedName>
    <definedName name="ADM" localSheetId="3">#REF!</definedName>
    <definedName name="ADM" localSheetId="6">#REF!</definedName>
    <definedName name="ADM">#REF!</definedName>
    <definedName name="_xlnm.Print_Area" localSheetId="1">'NOTAS EXPLICATIVAS'!$A$1:$G$121</definedName>
    <definedName name="LUCROS" localSheetId="4">#REF!</definedName>
    <definedName name="LUCROS" localSheetId="5">#REF!</definedName>
    <definedName name="LUCROS" localSheetId="7">#REF!</definedName>
    <definedName name="LUCROS" localSheetId="3">#REF!</definedName>
    <definedName name="LUCROS" localSheetId="6">#REF!</definedName>
    <definedName name="LUC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8" l="1"/>
  <c r="H15" i="8"/>
  <c r="H10" i="8" l="1"/>
  <c r="H5" i="8"/>
  <c r="H18" i="8" l="1"/>
  <c r="G22" i="8"/>
  <c r="I7" i="7"/>
  <c r="J7" i="7" s="1"/>
  <c r="J8" i="7" s="1"/>
  <c r="J9" i="7" s="1"/>
  <c r="E98" i="1" l="1"/>
  <c r="C10" i="6"/>
  <c r="E14" i="6"/>
  <c r="E13" i="6"/>
  <c r="E12" i="6"/>
  <c r="E11" i="6"/>
  <c r="F51" i="1"/>
  <c r="E10" i="6" l="1"/>
  <c r="E52" i="1" s="1"/>
  <c r="E112" i="1" l="1"/>
  <c r="D10" i="5" l="1"/>
  <c r="C10" i="5"/>
  <c r="F50" i="1"/>
  <c r="C13" i="4"/>
  <c r="F13" i="4" s="1"/>
  <c r="F17" i="4"/>
  <c r="F16" i="4"/>
  <c r="F15" i="4"/>
  <c r="F14" i="4"/>
  <c r="E8" i="4"/>
  <c r="E7" i="4"/>
  <c r="E6" i="4"/>
  <c r="E5" i="4"/>
  <c r="E9" i="4" l="1"/>
  <c r="G16" i="4" s="1"/>
  <c r="F11" i="5"/>
  <c r="G11" i="5" s="1"/>
  <c r="G17" i="4"/>
  <c r="D13" i="4"/>
  <c r="G13" i="4" s="1"/>
  <c r="G14" i="4"/>
  <c r="G15" i="4"/>
  <c r="F12" i="5" l="1"/>
  <c r="G12" i="5" s="1"/>
  <c r="F14" i="5"/>
  <c r="G14" i="5" s="1"/>
  <c r="F10" i="5"/>
  <c r="G10" i="5" s="1"/>
  <c r="E51" i="1" s="1"/>
  <c r="F13" i="5"/>
  <c r="G13" i="5" s="1"/>
  <c r="D6" i="3" l="1"/>
  <c r="D113" i="2"/>
  <c r="D112" i="2" s="1"/>
  <c r="D83" i="2"/>
  <c r="D82" i="2"/>
  <c r="D81" i="2"/>
  <c r="D80" i="2"/>
  <c r="D79" i="2"/>
  <c r="D78" i="2"/>
  <c r="D64" i="2"/>
  <c r="D63" i="2"/>
  <c r="D67" i="2" s="1"/>
  <c r="D62" i="2"/>
  <c r="D60" i="2"/>
  <c r="D61" i="2" s="1"/>
  <c r="D43" i="2"/>
  <c r="D26" i="2"/>
  <c r="D24" i="2"/>
  <c r="D25" i="2" s="1"/>
  <c r="D85" i="2" l="1"/>
  <c r="D86" i="2" s="1"/>
  <c r="D87" i="2" s="1"/>
  <c r="D66" i="2"/>
  <c r="D65" i="2"/>
  <c r="D69" i="2" s="1"/>
  <c r="D68" i="2"/>
  <c r="D27" i="2"/>
  <c r="D70" i="1"/>
  <c r="D70" i="2" l="1"/>
  <c r="D88" i="2"/>
  <c r="D89" i="2" s="1"/>
  <c r="D122" i="1"/>
  <c r="D71" i="1" l="1"/>
  <c r="D73" i="1" s="1"/>
  <c r="D68" i="1"/>
  <c r="D86" i="1" l="1"/>
  <c r="D26" i="1"/>
  <c r="D25" i="1"/>
  <c r="D87" i="1" l="1"/>
  <c r="D85" i="1"/>
  <c r="D84" i="1"/>
  <c r="D83" i="1"/>
  <c r="D89" i="1" s="1"/>
  <c r="D90" i="1" s="1"/>
  <c r="D69" i="1"/>
  <c r="D42" i="1" l="1"/>
  <c r="D91" i="1" l="1"/>
  <c r="D92" i="1" s="1"/>
  <c r="D93" i="1" s="1"/>
  <c r="D72" i="1"/>
  <c r="D74" i="1" s="1"/>
  <c r="D7" i="3"/>
  <c r="D9" i="3" s="1"/>
  <c r="D121" i="1"/>
  <c r="D120" i="1" s="1"/>
  <c r="D125" i="1" s="1"/>
  <c r="E135" i="1"/>
  <c r="D98" i="1"/>
  <c r="E103" i="1" s="1"/>
  <c r="D27" i="1"/>
  <c r="E19" i="1"/>
  <c r="E88" i="1" s="1"/>
  <c r="E92" i="1" l="1"/>
  <c r="E82" i="1"/>
  <c r="E86" i="1"/>
  <c r="E83" i="1"/>
  <c r="E84" i="1"/>
  <c r="E87" i="1"/>
  <c r="E85" i="1"/>
  <c r="E90" i="1"/>
  <c r="E71" i="1"/>
  <c r="E70" i="1"/>
  <c r="E68" i="1"/>
  <c r="E73" i="1"/>
  <c r="E69" i="1"/>
  <c r="E72" i="1"/>
  <c r="E55" i="1"/>
  <c r="E63" i="1" s="1"/>
  <c r="E26" i="1"/>
  <c r="E25" i="1"/>
  <c r="E131" i="1"/>
  <c r="E89" i="1" l="1"/>
  <c r="E91" i="1" s="1"/>
  <c r="E93" i="1" s="1"/>
  <c r="E27" i="1"/>
  <c r="E37" i="1" l="1"/>
  <c r="E39" i="1"/>
  <c r="E38" i="1"/>
  <c r="E40" i="1"/>
  <c r="E41" i="1"/>
  <c r="E35" i="1"/>
  <c r="E36" i="1"/>
  <c r="E34" i="1"/>
  <c r="E61" i="1"/>
  <c r="E42" i="1" l="1"/>
  <c r="E62" i="1" s="1"/>
  <c r="E64" i="1" s="1"/>
  <c r="E132" i="1" s="1"/>
  <c r="E102" i="1"/>
  <c r="E104" i="1" s="1"/>
  <c r="E134" i="1" s="1"/>
  <c r="E74" i="1"/>
  <c r="E133" i="1" s="1"/>
  <c r="E136" i="1" l="1"/>
  <c r="E118" i="1" l="1"/>
  <c r="E119" i="1" s="1"/>
  <c r="E123" i="1" l="1"/>
  <c r="E124" i="1"/>
  <c r="E122" i="1"/>
  <c r="E121" i="1"/>
  <c r="E120" i="1" l="1"/>
  <c r="E125" i="1" s="1"/>
  <c r="E137" i="1" s="1"/>
  <c r="E138" i="1" s="1"/>
</calcChain>
</file>

<file path=xl/sharedStrings.xml><?xml version="1.0" encoding="utf-8"?>
<sst xmlns="http://schemas.openxmlformats.org/spreadsheetml/2006/main" count="599" uniqueCount="402">
  <si>
    <t>Dados para composição dos custos referentes a mão de obra</t>
  </si>
  <si>
    <t>Classificação Brasileira de Ocupações (CBO)</t>
  </si>
  <si>
    <t>Salário da Categoria Profissional</t>
  </si>
  <si>
    <t>Sindicato da Categoria Profissional (vinculada à execução contratual)</t>
  </si>
  <si>
    <t>Data-Base da Categoria (dia/mês/ano)</t>
  </si>
  <si>
    <t>Nº da Convenção Coletiva de trabalho (CCT)</t>
  </si>
  <si>
    <t>Módulo 1 - Composição da Remuneração</t>
  </si>
  <si>
    <t>Composição da Remuneração</t>
  </si>
  <si>
    <t>Valor (R$)</t>
  </si>
  <si>
    <t>A</t>
  </si>
  <si>
    <t>Salário-Base</t>
  </si>
  <si>
    <t>B</t>
  </si>
  <si>
    <t xml:space="preserve">Adicional de Periculosidade </t>
  </si>
  <si>
    <t>C</t>
  </si>
  <si>
    <t>Adicional de Insalubridade</t>
  </si>
  <si>
    <t>D</t>
  </si>
  <si>
    <t>Adicional Noturno</t>
  </si>
  <si>
    <t>E</t>
  </si>
  <si>
    <t>Adicional de Hora Noturna Reduzida</t>
  </si>
  <si>
    <t>F</t>
  </si>
  <si>
    <t>Outros (especificar)</t>
  </si>
  <si>
    <t>Total</t>
  </si>
  <si>
    <t>Nota 1: O Módulo 1 refere-se ao valor mensal devido ao empregado pela prestação do serviço no período de 12 meses.</t>
  </si>
  <si>
    <t>Módulo 2 - Encargos e Benefícios Anuais, Mensais e Diários</t>
  </si>
  <si>
    <t> 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</si>
  <si>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</si>
  <si>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</si>
  <si>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</si>
  <si>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</si>
  <si>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</si>
  <si>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</si>
  <si>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</si>
  <si>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</si>
  <si>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</si>
  <si>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</si>
  <si>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RAT Ajustado (RAT x FAP)</t>
  </si>
  <si>
    <t>SESC ou SESI</t>
  </si>
  <si>
    <t>SENAI - SENAC</t>
  </si>
  <si>
    <t>SEBRAE</t>
  </si>
  <si>
    <t>G</t>
  </si>
  <si>
    <t>INCRA</t>
  </si>
  <si>
    <t>H</t>
  </si>
  <si>
    <t>FGTS</t>
  </si>
  <si>
    <t>Nota 2: Os percentuais dos encargos previdenciários, do FGTS e demais contribuições são aqueles estabelecidos pela legislação vigente.</t>
  </si>
  <si>
    <t>Nota 3: O RAT a depender do grau de risco do serviço irá variar entre 1%, para risco leve, de 2%, para risco médio, e de 3% de risco grave. Deverá ser ajustado ao fator acidentário previdenciário (FAP).</t>
  </si>
  <si>
    <t>Submódulo 2.3 - Benefícios Mensais e Diários.</t>
  </si>
  <si>
    <t>2.3</t>
  </si>
  <si>
    <t>Benefícios Mensais e Diários</t>
  </si>
  <si>
    <t>Dias úteis</t>
  </si>
  <si>
    <t>Assistência Médica e Familiar</t>
  </si>
  <si>
    <t>Assistência Odontológica</t>
  </si>
  <si>
    <t>Assistência Funeral e Seguro de Vida</t>
  </si>
  <si>
    <t>Nota 1: O valor informado deverá ser o custo real do benefício (descontado o valor eventualmente pago pelo empregado).</t>
  </si>
  <si>
    <t>Nota 2: Observar a previsão dos benefícios contidos em Acordos, Convenções e Dissídios Coletivos de Trabalho.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</si>
  <si>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</si>
  <si>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</si>
  <si>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</si>
  <si>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</si>
  <si>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</si>
  <si>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</si>
  <si>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</si>
  <si>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de GPS, FGTS e outras contribuições sobre o Aviso Prévio Trabalhado</t>
  </si>
  <si>
    <t>Módulo 4 - Custo de Reposição do Profissional Ausente</t>
  </si>
  <si>
    <t>Submódulo 4.1 - Substituto nas Ausências Legais</t>
  </si>
  <si>
    <t>4.1</t>
  </si>
  <si>
    <t>Substituto nas Ausências Legais</t>
  </si>
  <si>
    <t>Substituto na cobertura de Ausências Legais</t>
  </si>
  <si>
    <t>Substituto na cobertura de Licença-Paternidade</t>
  </si>
  <si>
    <t>Substituto na cobertura de Ausência por acidente de trabalho</t>
  </si>
  <si>
    <t>Substituto na cobertura de Afastamento Maternidade</t>
  </si>
  <si>
    <t>Submódulo 4.2 - Substituto na Intrajornada</t>
  </si>
  <si>
    <t>4.2</t>
  </si>
  <si>
    <t>Substituto na Intrajornada </t>
  </si>
  <si>
    <t>Substituto na cobertura de Intervalo para repouso ou alimentação</t>
  </si>
  <si>
    <t>Quadro-Resumo do Módulo 4 - Custo de Reposição do Profissional Ausente</t>
  </si>
  <si>
    <t>Custo de Reposição do Profissional Ausente</t>
  </si>
  <si>
    <t>Substituto na Intrajornada</t>
  </si>
  <si>
    <t>Módulo 5 - Insumos Diversos</t>
  </si>
  <si>
    <t>Insumos Diversos</t>
  </si>
  <si>
    <t>Uniformes</t>
  </si>
  <si>
    <t>Materiais (EPIs + Ferramental)</t>
  </si>
  <si>
    <t>Equipamentos</t>
  </si>
  <si>
    <t>Módulo 6 - Custos Indiretos, Tributos e Lucro</t>
  </si>
  <si>
    <t>Custos Indiretos, Tributos e Lucro</t>
  </si>
  <si>
    <t>Custos Indiretos</t>
  </si>
  <si>
    <t>Lucro</t>
  </si>
  <si>
    <t>Tributos (C.1 + C.2 + C.3 + D)</t>
  </si>
  <si>
    <t xml:space="preserve">C.1. </t>
  </si>
  <si>
    <t>Tributos Federais (PIS)</t>
  </si>
  <si>
    <t>C.2.</t>
  </si>
  <si>
    <t>Tributos Federais (COFINS)</t>
  </si>
  <si>
    <t>C.3.</t>
  </si>
  <si>
    <t>Contribuição Previdenciária sobre a Receita Bruta - CPRB</t>
  </si>
  <si>
    <t>Nota 1: Custos Indiretos, Tributos e Lucro por empregado.</t>
  </si>
  <si>
    <t>Nota 2: A empresa que indicar "desoneração" do Submódulo 2.2 deverá incluir uma rubrica para tributação da Contribuição Previdenciária sobre a Receita Bruta - CPRB.</t>
  </si>
  <si>
    <t>QUADRO-RESUMO DO CUSTO POR EMPREGADO</t>
  </si>
  <si>
    <t>Mão de obra vinculada à execução contratual (valor por empregado)</t>
  </si>
  <si>
    <t>Valor(R$)</t>
  </si>
  <si>
    <t>Subtotal (A + B +C+ D+E)</t>
  </si>
  <si>
    <t>Valor Total por Empregado/Posto</t>
  </si>
  <si>
    <t>Substituto na cobertura de Férias</t>
  </si>
  <si>
    <t>Nota 2: O adicional de férias contido no Submódulo 2.1 corresponde a 1/3 (um terço) da remuneração que por sua vez é divido por 12 (doze) conforme Nota 1 acima.</t>
  </si>
  <si>
    <t>Nota 1: O percentual do INSS poderá sofrer alteração de acordo com a "Desoneração da Folha de Pagamento". (Lei 12.546/2011 e suas alterações).</t>
  </si>
  <si>
    <t>Multa do FGTS sobre o Aviso Prévio Indenizado</t>
  </si>
  <si>
    <t>Multa do FGTS sobre o Aviso Prévio Trabalhado</t>
  </si>
  <si>
    <t>Nota 1: O percentual de 1,94% indicado no Aviso Prévio Trabalhado (Alínea D) torna-se custo não renovável decorridos 12 meses. Assim, este percentual será alterado para 0,194% após 12 meses de vigência do contrato, considerando que é plurianual. O licitante poderá cotar percentual diferente do indicado na alínea D (1,94%), desde que com as devidas justificativas (Acórdão n. 1186/2017-TCU-Plenário).</t>
  </si>
  <si>
    <t>Tributos Estaduais/Municipais (ISS) - Código do Serviço XX.XX</t>
  </si>
  <si>
    <t>Lucro real</t>
  </si>
  <si>
    <t>Notas Explicativas - Planilha Analítica de Custos e Formação de Preços</t>
  </si>
  <si>
    <t>Memória de cálculo</t>
  </si>
  <si>
    <t>Fundamento</t>
  </si>
  <si>
    <r>
      <t xml:space="preserve">Salário Base </t>
    </r>
    <r>
      <rPr>
        <vertAlign val="superscript"/>
        <sz val="9"/>
        <rFont val="Arial"/>
        <family val="2"/>
      </rPr>
      <t>(1)</t>
    </r>
  </si>
  <si>
    <t>-</t>
  </si>
  <si>
    <t>Artigo 457 e 458 da CLT.</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</si>
  <si>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</si>
  <si>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</si>
  <si>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</si>
  <si>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</si>
  <si>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</si>
  <si>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</si>
  <si>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</si>
  <si>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</si>
  <si>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</si>
  <si>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</si>
  <si>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</si>
  <si>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</si>
  <si>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</si>
  <si>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</si>
  <si>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</si>
  <si>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</si>
  <si>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</si>
  <si>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</si>
  <si>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</si>
  <si>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</si>
  <si>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</si>
  <si>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</si>
  <si>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</si>
  <si>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</si>
  <si>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</si>
  <si>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</si>
  <si>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</si>
  <si>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</si>
  <si>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</si>
  <si>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</si>
  <si>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</si>
  <si>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t>%</t>
  </si>
  <si>
    <r>
      <t xml:space="preserve">13º Salário </t>
    </r>
    <r>
      <rPr>
        <b/>
        <vertAlign val="superscript"/>
        <sz val="9"/>
        <rFont val="Arial"/>
        <family val="2"/>
      </rPr>
      <t>(1)</t>
    </r>
  </si>
  <si>
    <t>((1/12) x 100) ≅ 8,33%</t>
  </si>
  <si>
    <t>Art. 7º, VIII, CF/88. Decreto n. 10.854, de 10 de novembro de 2021</t>
  </si>
  <si>
    <r>
      <t xml:space="preserve">Adicional de Férias </t>
    </r>
    <r>
      <rPr>
        <b/>
        <vertAlign val="superscript"/>
        <sz val="9"/>
        <rFont val="Arial"/>
        <family val="2"/>
      </rPr>
      <t>(2)</t>
    </r>
  </si>
  <si>
    <t>((1/3) x (1/12) x 100) ≅ 2,78%</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</si>
  <si>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</si>
  <si>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</si>
  <si>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</si>
  <si>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</si>
  <si>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</si>
  <si>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</si>
  <si>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</si>
  <si>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</si>
  <si>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</si>
  <si>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</si>
  <si>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</si>
  <si>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</si>
  <si>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</si>
  <si>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</si>
  <si>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</si>
  <si>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</si>
  <si>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</si>
  <si>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</si>
  <si>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</si>
  <si>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</si>
  <si>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</si>
  <si>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</si>
  <si>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</si>
  <si>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</si>
  <si>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</si>
  <si>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</si>
  <si>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</si>
  <si>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</si>
  <si>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</si>
  <si>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</si>
  <si>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t>Auxílio-Alimentação</t>
  </si>
  <si>
    <t>Artigo 458, §§ 2º e 3º da CLT; Lei nº 6.321/76; Decreto nº 10.854/2021 e CCT.</t>
  </si>
  <si>
    <t>Assistência Médica</t>
  </si>
  <si>
    <t>De acordo com a CLT, CCT e Contrato.</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</si>
  <si>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</si>
  <si>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</si>
  <si>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((0,05 x (1/12) x 100) ≅ 0,42%</t>
  </si>
  <si>
    <t>Art. 7º, XXI, CF/88; Art. 487 a 491 da CLT; Lei n. 12.506/2011.</t>
  </si>
  <si>
    <t>((0,08 x 0,0042) x 100) ≅ 0,03%</t>
  </si>
  <si>
    <t>Súmula 305 TST.</t>
  </si>
  <si>
    <r>
      <t xml:space="preserve">Multa do FGTS sobre o Aviso Prévio Indenizado </t>
    </r>
    <r>
      <rPr>
        <b/>
        <vertAlign val="superscript"/>
        <sz val="9"/>
        <rFont val="Arial"/>
        <family val="2"/>
      </rPr>
      <t>(2)</t>
    </r>
  </si>
  <si>
    <t>0,08 x 0,4 x 0,9 x [1 + 1/12 + 1/12 + (1/3 x 1/12)] ≅ 3,44%</t>
  </si>
  <si>
    <t>Art. 18 da Lei 8.036/90, IN 05/2017, Art. 12 da Lei nº 13.932.</t>
  </si>
  <si>
    <t>{[(7/30)/12]  x 100) ≅  1,94%</t>
  </si>
  <si>
    <t>Art. 7º, XXI, CF/88. Arts. 487 a 491 CLT. Lei n. 12.506/2011. Acórdãos n. 1904/2007-TCU-Plenário e n. 3006/2010-TCU-Plenário.</t>
  </si>
  <si>
    <t>D.1</t>
  </si>
  <si>
    <t>Aviso Prévio Trabalhado após 12 meses de vigência</t>
  </si>
  <si>
    <t>{[(7/30) x 0,1] /12  ≅ 0,194%</t>
  </si>
  <si>
    <t>Lei 12.506/2011. Acórdão n. 1186/2017-TCU-Plenário</t>
  </si>
  <si>
    <t>((0,3480 x 0,0194) x 100) ≅ 0,03%</t>
  </si>
  <si>
    <t>E.1</t>
  </si>
  <si>
    <t>Incidência de GPS, FGTS e outras contribuições sobre o Aviso Prévio Trabalhado após 12 meses de vigência</t>
  </si>
  <si>
    <t>((0,3680 x 0,00194) x 100) ≅  0,07%</t>
  </si>
  <si>
    <r>
      <t xml:space="preserve">Multa do FGTS sobre Aviso Prévio Trabalhado </t>
    </r>
    <r>
      <rPr>
        <b/>
        <vertAlign val="superscript"/>
        <sz val="9"/>
        <rFont val="Arial"/>
        <family val="2"/>
      </rPr>
      <t>(3)</t>
    </r>
  </si>
  <si>
    <t>((0,0194 x 0,08) x 0,4 x 100) ≅  0,06%</t>
  </si>
  <si>
    <t>F.1</t>
  </si>
  <si>
    <t>Multa do FGTS sobre Aviso Prévio Trabalhado</t>
  </si>
  <si>
    <t>Total da provisão para rescisão - Primeiro ano de vigência</t>
  </si>
  <si>
    <t>A+B+C+D+E+F</t>
  </si>
  <si>
    <t>Total da provisão para rescisão - após 12 meses de vigência</t>
  </si>
  <si>
    <t>A+B+C+D.1+E.1+F</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</si>
  <si>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5% do pessoal é demitido pelo empregador, antes do término do contrato de trabalho. Cálculo ((1/12)x 0,05) x 100 ≅ 0,42%.</t>
    </r>
  </si>
  <si>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</si>
  <si>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</si>
  <si>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</si>
  <si>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</si>
  <si>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</si>
  <si>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</si>
  <si>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r>
      <t xml:space="preserve">Substituto na cobertura de Ausências Legais </t>
    </r>
    <r>
      <rPr>
        <b/>
        <vertAlign val="superscript"/>
        <sz val="9"/>
        <rFont val="Arial"/>
        <family val="2"/>
      </rPr>
      <t>(2)</t>
    </r>
  </si>
  <si>
    <t>(((3/30) /12) x 100) ≅ 0,83%</t>
  </si>
  <si>
    <t>Art. 473 da CLT.</t>
  </si>
  <si>
    <r>
      <t xml:space="preserve">Substituto na cobertura de Licença-Paternidade </t>
    </r>
    <r>
      <rPr>
        <b/>
        <vertAlign val="superscript"/>
        <sz val="9"/>
        <rFont val="Arial"/>
        <family val="2"/>
      </rPr>
      <t>(3)</t>
    </r>
  </si>
  <si>
    <t>(((5/30) /12) x 0,015 x 100) ≅ 0,02%</t>
  </si>
  <si>
    <t>Art. 7º, inciso XIX da CF. §1º do artigo 10 do ADCT. Lei n. 13.527/2016</t>
  </si>
  <si>
    <r>
      <t xml:space="preserve">Substituto na cobertura de Ausência por Acidente de Trabalho </t>
    </r>
    <r>
      <rPr>
        <b/>
        <vertAlign val="superscript"/>
        <sz val="9"/>
        <rFont val="Arial"/>
        <family val="2"/>
      </rPr>
      <t>(4)</t>
    </r>
  </si>
  <si>
    <t>(((30/30) /12) x 0,0078 x 100) ≅ 0,07%</t>
  </si>
  <si>
    <t>Decreto n. 3.048/1999 / Art. 131 da CLT / MP. 664/2014</t>
  </si>
  <si>
    <r>
      <t xml:space="preserve">Substituto na cobertura de Afastamento Maternidade </t>
    </r>
    <r>
      <rPr>
        <b/>
        <vertAlign val="superscript"/>
        <sz val="9"/>
        <rFont val="Arial"/>
        <family val="2"/>
      </rPr>
      <t>(5)</t>
    </r>
  </si>
  <si>
    <t>(0,1111) x (0,1781) x (0,5) x (100) ≅ 0,99%</t>
  </si>
  <si>
    <t>Art. 7º inc. XVIII, CF/ Lei 8.213/1991 / Lei 11770/2008 / Lei n. 13.527/2016.</t>
  </si>
  <si>
    <r>
      <t xml:space="preserve">Substituição na cobertura de Ausência por Doença </t>
    </r>
    <r>
      <rPr>
        <b/>
        <vertAlign val="superscript"/>
        <sz val="9"/>
        <rFont val="Arial"/>
        <family val="2"/>
      </rPr>
      <t>(6)</t>
    </r>
  </si>
  <si>
    <t>((5/30) /12) x 100) ≅ 1,39%</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</si>
  <si>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</si>
  <si>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</si>
  <si>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(2)</t>
    </r>
    <r>
      <rPr>
        <sz val="9"/>
        <rFont val="Arial"/>
        <family val="2"/>
      </rPr>
      <t xml:space="preserve"> Estimativa de 03 (três) ausências legais por ano. </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</si>
  <si>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</si>
  <si>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vertAlign val="superscript"/>
        <sz val="9"/>
        <rFont val="Arial"/>
        <family val="2"/>
      </rPr>
      <t>(4)</t>
    </r>
    <r>
      <rPr>
        <sz val="9"/>
        <rFont val="Arial"/>
        <family val="2"/>
      </rPr>
      <t xml:space="preserve"> Estimativa de 30 (trinta) dias de ausência por acidente de trabalho por ano, para 0,78% (setenta e oito décimos por cento) dos empregados.</t>
    </r>
  </si>
  <si>
    <r>
      <rPr>
        <vertAlign val="superscript"/>
        <sz val="9"/>
        <rFont val="Arial"/>
        <family val="2"/>
      </rPr>
      <t>(5)</t>
    </r>
    <r>
      <rPr>
        <sz val="9"/>
        <rFont val="Arial"/>
        <family val="2"/>
      </rPr>
      <t xml:space="preserve"> Custo Estimado com licença maternidade = Custo Efetivo de Afastamento Maternidade x Número Estimado de Ocorrências x Rateio do Custo durante um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</si>
  <si>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</si>
  <si>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43,59% do total de empregos no Distrito Federal em 2022 (544.915 do total de 1.250.053). Já o Anuário Estatístico da Previdência Social dispõe que foi concedida a quantidade de 222.678 salários-maternidade no âmbito do Distrito Federal em 2022. Essa quantidade representa cerca de 40,86% do total de mulheres empregadas no Distrito Federal no mesmo período. Portanto, a estimativa de uma determinada empregada usurfruir 6 (seis) meses de licença a cada ano de execução contratual é de 0,4359 x 0,4086 x 100  ≅ 17,81% de empregadas afastadas.</t>
    </r>
  </si>
  <si>
    <r>
      <rPr>
        <b/>
        <u/>
        <sz val="9"/>
        <rFont val="Arial"/>
        <family val="2"/>
      </rPr>
      <t>Rateio do Custo durante Vigência Contratual:</t>
    </r>
    <r>
      <rPr>
        <sz val="9"/>
        <rFont val="Arial"/>
        <family val="2"/>
      </rPr>
      <t xml:space="preserve"> Divisão proporcional do custo de</t>
    </r>
    <r>
      <rPr>
        <b/>
        <sz val="9"/>
        <rFont val="Arial"/>
        <family val="2"/>
      </rPr>
      <t xml:space="preserve"> </t>
    </r>
    <r>
      <rPr>
        <sz val="9"/>
        <rFont val="Arial"/>
        <family val="2"/>
      </rPr>
      <t>6 (seis) meses de licença por ano (base do % de ocorrências): (6 meses de licença) ÷ (12 meses) x 100 = 50%</t>
    </r>
  </si>
  <si>
    <t>Clique aqui para consultar o Painel de Informações da RAIS de 2021</t>
  </si>
  <si>
    <t>Selecione: "Empregados" - "Por Área Geográfica e Sexo" - Filtros "Ano = 2022" - "Área Geográfica = 5 - Centro Oeste" - UF" = Distrito Federal" - "Sexo = Feminino".</t>
  </si>
  <si>
    <t>Clique aqui para consultar o Anuário Estatístico da Previdência Social - AEPS</t>
  </si>
  <si>
    <t>Busque os dados referentes ao Distrito Federal na coluna "Quantidade".</t>
  </si>
  <si>
    <r>
      <rPr>
        <vertAlign val="superscript"/>
        <sz val="9"/>
        <rFont val="Arial"/>
        <family val="2"/>
      </rPr>
      <t xml:space="preserve">(6) </t>
    </r>
    <r>
      <rPr>
        <sz val="9"/>
        <rFont val="Arial"/>
        <family val="2"/>
      </rPr>
      <t>Estimativa de 5 (cinco) dias de licença doença por ano.</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</si>
  <si>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</si>
  <si>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</si>
  <si>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</si>
  <si>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</si>
  <si>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</si>
  <si>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</si>
  <si>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r>
      <t>Lucro</t>
    </r>
    <r>
      <rPr>
        <vertAlign val="superscript"/>
        <sz val="9"/>
        <rFont val="Arial"/>
        <family val="2"/>
      </rPr>
      <t xml:space="preserve">(1) </t>
    </r>
  </si>
  <si>
    <r>
      <t xml:space="preserve">Tributos </t>
    </r>
    <r>
      <rPr>
        <vertAlign val="superscript"/>
        <sz val="9"/>
        <rFont val="Arial"/>
        <family val="2"/>
      </rPr>
      <t>(2)</t>
    </r>
    <r>
      <rPr>
        <sz val="9"/>
        <rFont val="Arial"/>
        <family val="2"/>
      </rPr>
      <t xml:space="preserve"> (C.1 + C.2 + C.3 + C.4)</t>
    </r>
  </si>
  <si>
    <t>C.1</t>
  </si>
  <si>
    <t xml:space="preserve">Tributos Federais </t>
  </si>
  <si>
    <t>PIS</t>
  </si>
  <si>
    <r>
      <rPr>
        <b/>
        <sz val="9"/>
        <rFont val="Arial"/>
        <family val="2"/>
      </rPr>
      <t>P0</t>
    </r>
    <r>
      <rPr>
        <sz val="9"/>
        <rFont val="Arial"/>
        <family val="2"/>
      </rPr>
      <t xml:space="preserve"> = Módudo 1 + Módulo 2 + Módulo 3 + Módulo 4 + Módulo 5 + Módulo 6A + Módulo 6B (em reais)</t>
    </r>
  </si>
  <si>
    <t>COFINS</t>
  </si>
  <si>
    <r>
      <rPr>
        <b/>
        <sz val="9"/>
        <rFont val="Arial"/>
        <family val="2"/>
      </rPr>
      <t>P1</t>
    </r>
    <r>
      <rPr>
        <sz val="9"/>
        <rFont val="Arial"/>
        <family val="2"/>
      </rPr>
      <t xml:space="preserve"> = (P0 em reais) x (% do C.1 ou C.2 ou C.3 ou C.4) / (1 - % do C) </t>
    </r>
  </si>
  <si>
    <t>C.2</t>
  </si>
  <si>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</si>
  <si>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</si>
  <si>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</si>
  <si>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</si>
  <si>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</si>
  <si>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Distrito Federal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</si>
  <si>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</si>
  <si>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</si>
  <si>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Item</t>
  </si>
  <si>
    <t>Descrição</t>
  </si>
  <si>
    <t>Retenções</t>
  </si>
  <si>
    <t>Férias e 1/3 Constitucional (sobre remuneração)*</t>
  </si>
  <si>
    <t>13º Salário (sobre remuneração)**</t>
  </si>
  <si>
    <t xml:space="preserve">Subtotal das provisões </t>
  </si>
  <si>
    <t>Incidência do submódulo 2.2 (sobre a remuneração)***</t>
  </si>
  <si>
    <t>Indenização - Rescisões sem justa causa - Multa do FGTS (sobre remuneração)****</t>
  </si>
  <si>
    <t>Percentual da Retenção Mensal por Posto/Cargo/Profissional (sobre remuneração)</t>
  </si>
  <si>
    <t>* Férias e 1/3 Constitucional, conforme item 14 do Anexo XII da IN n. 5/2017 e Acordão 2161/2021 - TCU - Plenário</t>
  </si>
  <si>
    <t>** 13º Salário , conforme item 14 do Anexo XII da IN n. 5/2017</t>
  </si>
  <si>
    <t>***  A incidência recai sobre as verbas de 13º salário, férias e 1/3 constitucional, variando de acordo com a RAT e FAP ajustada da empresa.</t>
  </si>
  <si>
    <t>*** Memória de cálculo da incidência = (% total do submódulo 2.2 * 20,43%)/100</t>
  </si>
  <si>
    <t>**** Lei nº 13.932, de 11 de dezembro de 2019: "Art. 12. A partir de 1º de janeiro de 2020, fica extinta a contribuição social instituída por meio do art. 1º da Lei Complementar nº 110, de 29 de junho de 2001". Ou seja, o percentual de " Multa sobre FGTS e contribuição social sobre o aviso prévio indenizado e sobre o aviso prévio trabalhado", constante na Conta-Depósito Vinculada - Bloqueada para Movimentação do item 14 do Anexo XII da IN nº 5, de 2017,  passa a ser de 4% (quatro por cento) ao invés de 5% (cinco por cento) . "https://www.gov.br/compras/pt-br/agente-publico/orientacoes-e-procedimentos/26-extincao-da-contribuicao-social-de-10-sobre-o-fgts-e-os-contratos-administrativos#:~:text=A%20partir%20de%201%C2%BA%20de,29%20de%20junho%20de%202001.%22"</t>
  </si>
  <si>
    <t/>
  </si>
  <si>
    <t>DETALHAMENTO DO CUSTO DO VALE TRANSPORTE (VT)</t>
  </si>
  <si>
    <t>TODOS OS PROFISSIONAIS</t>
  </si>
  <si>
    <t>PERCURSO</t>
  </si>
  <si>
    <t>CUSTO UNITÁRIO DO VT (A)</t>
  </si>
  <si>
    <t>QUANTIDADE MENSAL PARA CADA EMPREGADO (B)</t>
  </si>
  <si>
    <t>TOTAL (C=AxB)</t>
  </si>
  <si>
    <t>Residência/Rodoviária</t>
  </si>
  <si>
    <t>Rodoviária/Residência</t>
  </si>
  <si>
    <t>Rodoviária/CJF</t>
  </si>
  <si>
    <t>CJF/Rodoviária</t>
  </si>
  <si>
    <t>TOTAL</t>
  </si>
  <si>
    <t>POSTO DE TRABALHO</t>
  </si>
  <si>
    <t>SALÁRIO BASE (A)</t>
  </si>
  <si>
    <t>CUSTO DO VALE TRANSPORTE (B)</t>
  </si>
  <si>
    <t>% DE DESCONTO (C)</t>
  </si>
  <si>
    <t>PARTICIPAÇÃO DO TRABALHADOR (AxC=D)</t>
  </si>
  <si>
    <t>CUSTO UNITÁRIO MENSAL DO VALE TRANSPORTE 
(E=B-D)</t>
  </si>
  <si>
    <t>Cargo 01 - XXXX</t>
  </si>
  <si>
    <t>Cargo 02 - XXXX</t>
  </si>
  <si>
    <t>Cargo 03 - XXXX</t>
  </si>
  <si>
    <t>Cargo 04 - XXXX</t>
  </si>
  <si>
    <t>Cargo 05 - XXXX</t>
  </si>
  <si>
    <t>FÓRMULAS</t>
  </si>
  <si>
    <t>DETALHAMENTO DO CUSTO DO AUXÍLIO-ALIMENTAÇÃO (VA)</t>
  </si>
  <si>
    <t>QUANTIDADE MENSAL PARA CADA EMPREGADO</t>
  </si>
  <si>
    <t>Custo Unitário</t>
  </si>
  <si>
    <t>Custo Médio Unitário</t>
  </si>
  <si>
    <t>% DE DESCONTO PAT (C)</t>
  </si>
  <si>
    <t>CCT n. xx/xxxx</t>
  </si>
  <si>
    <t>* Os campos de "Adesão ao PAT" somente devem ser preenchidos se a empresa aderir o Programa de Alimentação ao Trabalhador.</t>
  </si>
  <si>
    <t>Adesão ao PAT*</t>
  </si>
  <si>
    <t>Participação Patronal</t>
  </si>
  <si>
    <t xml:space="preserve">CUSTO UNITÁRIO MENSAL ASSISTÊNCIA MÉDICA - PATRONAL </t>
  </si>
  <si>
    <t xml:space="preserve">Cargo 02 - </t>
  </si>
  <si>
    <t xml:space="preserve">Cargo 01 - </t>
  </si>
  <si>
    <t xml:space="preserve">Cargo 03 - </t>
  </si>
  <si>
    <t xml:space="preserve">Cargo 04 - </t>
  </si>
  <si>
    <t xml:space="preserve">Cargo 05 - </t>
  </si>
  <si>
    <t>SALÁRIO BASE</t>
  </si>
  <si>
    <t>% PARTICIPAÇÃO PATRONAL</t>
  </si>
  <si>
    <t>CUSTO ESTIMADO MENSAL (A)</t>
  </si>
  <si>
    <t>SALÁRIO BASE (B)</t>
  </si>
  <si>
    <t>CUSTO UNITÁRIO MENSAL DO VALE ALIMENTAÇÃO (E=A-D)</t>
  </si>
  <si>
    <t>DETALHAMENTO DO CUSTO DA ASSISTÊNCIA MÉDICA</t>
  </si>
  <si>
    <t>Id.</t>
  </si>
  <si>
    <t>Peças</t>
  </si>
  <si>
    <t>Qtd. Profissionais</t>
  </si>
  <si>
    <t>Qtde Conjuntos*</t>
  </si>
  <si>
    <t>Custo Total</t>
  </si>
  <si>
    <t>Valor mensal por profissional</t>
  </si>
  <si>
    <t>DETALHAMENTO DO CUSTO DE UNIFORMES</t>
  </si>
  <si>
    <t>Quantidade</t>
  </si>
  <si>
    <t>UASG</t>
  </si>
  <si>
    <t>Custo médio estimado</t>
  </si>
  <si>
    <t>Custo mensal por profissional*</t>
  </si>
  <si>
    <t>Custo mensal por profissional</t>
  </si>
  <si>
    <t>Regime de Tributação:</t>
  </si>
  <si>
    <t>DETALHAMENTO CUSTO MATERIAL/EPI/EQUIPAMENTO/OUTROS</t>
  </si>
  <si>
    <t>Proporcional de Férias, 1/3 Férias e 13ª Salário sobre custo de reposição (exceto licença maternidade)</t>
  </si>
  <si>
    <t xml:space="preserve">Subtotal antes da incidência de Proporcional de Férias, 1/3 e 13º Salário sobre custo de reposição </t>
  </si>
  <si>
    <t>Subtotal antes da incidência do Submódulo 2.2 sobre custo de reposição</t>
  </si>
  <si>
    <t>Incidência do Submódulo 2.2 sobre custo de reposição</t>
  </si>
  <si>
    <t>Substituto na cobertura de Ausência por Doença</t>
  </si>
  <si>
    <t>Substituto na cobertura de outras ausências</t>
  </si>
  <si>
    <r>
      <t xml:space="preserve">Proporcional de Férias, 1/3 Férias e 13ª Salário sobre custo de reposição (exceto licença maternidade) </t>
    </r>
    <r>
      <rPr>
        <b/>
        <vertAlign val="superscript"/>
        <sz val="9"/>
        <rFont val="Arial"/>
        <family val="2"/>
      </rPr>
      <t>(7)</t>
    </r>
  </si>
  <si>
    <t>(0,1163-0,0099) x [(1/12)+(1/12)+(1/12 x 1/3)] x 100 = 2,07%</t>
  </si>
  <si>
    <t>(0,3680 x 0,1370) x 100 = 5,04%</t>
  </si>
  <si>
    <t>Total do custo de reposição do profissional ausente</t>
  </si>
  <si>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</si>
  <si>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Contrato</t>
  </si>
  <si>
    <t>Transporte</t>
  </si>
  <si>
    <t xml:space="preserve">Auxílio-Refeição/Alimentação </t>
  </si>
  <si>
    <t>Tipo de Serviço</t>
  </si>
  <si>
    <t>Nota 1: Valores mensais por empregado.</t>
  </si>
  <si>
    <t>(Módudo1 + Módulo2 + Módulo3 + Módulo4 + Módulo5) x 5%</t>
  </si>
  <si>
    <t>(Módudo1 + Módulo2 + Módulo3 + Módulo4 + Módulo5 + Custos indiretos) x 10%</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</si>
  <si>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</si>
  <si>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4: Esses percentuais incidem sobre o Módulo 1 e o Submódulo 2.1. (Redação dada pela Instrução Normativa nº 7, de 2018).</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</si>
  <si>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</si>
  <si>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Nota 3: A rubrica férias tem como objetivo principal suprir a necessidade do pagamento das férias remuneradas ao final do contrato de 12 meses, tornando-se custo não renovável após o referido período. Assim, o percentual de 8,33% será suprimido após os 12 meses de vigência do contrato (Incluído pela Instrução Normativa nº 7, de 2018). Recomenda-se verificar explicação da rúbrica na aba "Notas Explicativas".</t>
  </si>
  <si>
    <t>2026/2026</t>
  </si>
  <si>
    <t>SERVENTE - LIMPEZA PREDIAL</t>
  </si>
  <si>
    <t>5143-20</t>
  </si>
  <si>
    <t>AUXILIAR DE SERVIÇOS GERAIS</t>
  </si>
  <si>
    <t>Município de Poconé/MT</t>
  </si>
  <si>
    <t>Município de Britania/GO</t>
  </si>
  <si>
    <t>Escola de Especialistas da Aueronáutica</t>
  </si>
  <si>
    <t>Pregão Eletrônico nº 5/2025</t>
  </si>
  <si>
    <t>Pregão Presencial nº 8428</t>
  </si>
  <si>
    <t>Processo nº 0001 - NFE nº 968</t>
  </si>
  <si>
    <t>Uniforme completo (conjuntos)</t>
  </si>
  <si>
    <t>Total para 12 meses</t>
  </si>
  <si>
    <t>Nota:</t>
  </si>
  <si>
    <t>O detalhamento completo da pesquisa de preços pode ser verificada no link:</t>
  </si>
  <si>
    <t>https://verificador.bdsgp.com.br/?q=ZOAsPAZe7PoRkvkY</t>
  </si>
  <si>
    <t>Bota PVC cano longo</t>
  </si>
  <si>
    <t>Pregão Eletrônico nº 10/2025</t>
  </si>
  <si>
    <t>Pregão Eletrônico nº 67/2025</t>
  </si>
  <si>
    <t>Pregão Eletrônico nº 35/2025</t>
  </si>
  <si>
    <t>Processo nº 0001 NFE 869134</t>
  </si>
  <si>
    <t>Luvas proteção latex (pares)</t>
  </si>
  <si>
    <t>Pregão Eletrônico nº 44/2025</t>
  </si>
  <si>
    <t>Pregão Eletrônico nº 25/2025</t>
  </si>
  <si>
    <t>Processo nº 0001 NFE 99</t>
  </si>
  <si>
    <t>Pregão Eletrônico nº 2/2025</t>
  </si>
  <si>
    <t>Máscara PFF2</t>
  </si>
  <si>
    <t>Pregão Eletrônico nº 78/2025</t>
  </si>
  <si>
    <t>Pregão Eletrônico nº 40/2025</t>
  </si>
  <si>
    <t xml:space="preserve"> Pregão Eletrônico nº 13/2025</t>
  </si>
  <si>
    <t>Pregão Eletrônico nº 50/2025</t>
  </si>
  <si>
    <t>Pregão Eletrônico nº 31/2025</t>
  </si>
  <si>
    <t>Óculos proteção</t>
  </si>
  <si>
    <t>Pregão Eletrônico nº 15/2025</t>
  </si>
  <si>
    <t>Pregão Eletrônico nº 579/2025</t>
  </si>
  <si>
    <t>Dispensa nº 39673/2025</t>
  </si>
  <si>
    <t>O detalhamento completo da pesquisa de preços pode ser verificada no link ou código QR:</t>
  </si>
  <si>
    <t>PLANILHA DE CUSTOS E FORMAÇÃO DE PREÇOS DO SERVIÇO DE SERVENTE DE LIMPEZA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</si>
</sst>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quot;R$ &quot;* #,##0.00_);_(&quot;R$ &quot;* \(#,##0.00\);_(&quot;R$ &quot;* &quot;-&quot;??_);_(@_)"/>
    <numFmt numFmtId="165" formatCode="0.000%"/>
    <numFmt numFmtId="166" formatCode="0.0%"/>
    <numFmt numFmtId="167" formatCode="_-[$R$-416]\ * #,##0.00_-;\-[$R$-416]\ * #,##0.00_-;_-[$R$-416]\ * &quot;-&quot;??_-;_-@_-"/>
  </numFmts>
  <fonts count="50">
    <font>
      <sz val="11"/>
      <color theme="1"/>
      <name val="Calibri"/>
      <family val="2"/>
      <scheme val="minor"/>
    </font>
    <font>
      <sz val="11"/>
      <color theme="1"/>
      <name val="Calibri"/>
      <family val="2"/>
      <scheme val="minor"/>
    </font>
    <font>
      <b/>
      <sz val="10"/>
      <color theme="0"/>
      <name val="Calibri "/>
    </font>
    <font>
      <sz val="10"/>
      <color theme="1"/>
      <name val="Calibri "/>
    </font>
    <font>
      <b/>
      <sz val="10"/>
      <name val="Calibri "/>
    </font>
    <font>
      <b/>
      <sz val="10"/>
      <color theme="1"/>
      <name val="Calibri "/>
    </font>
    <font>
      <sz val="10"/>
      <name val="Arial"/>
      <family val="2"/>
    </font>
    <font>
      <b/>
      <sz val="10"/>
      <color indexed="8"/>
      <name val="Calibri "/>
    </font>
    <font>
      <sz val="10"/>
      <color rgb="FFFF0000"/>
      <name val="Calibri "/>
    </font>
    <font>
      <sz val="10"/>
      <name val="Calibri "/>
    </font>
    <font>
      <b/>
      <sz val="10"/>
      <name val="Arial"/>
      <family val="2"/>
    </font>
    <font>
      <b/>
      <sz val="11"/>
      <color theme="1"/>
      <name val="Calibri"/>
      <family val="2"/>
      <scheme val="minor"/>
    </font>
    <font>
      <u/>
      <sz val="11"/>
      <color theme="10"/>
      <name val="Calibri"/>
      <family val="2"/>
      <scheme val="minor"/>
    </font>
    <font>
      <sz val="11"/>
      <color theme="1"/>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z val="8"/>
      <color rgb="FFFF0000"/>
      <name val="Arial"/>
      <family val="2"/>
    </font>
    <font>
      <strike/>
      <sz val="9"/>
      <name val="Arial"/>
      <family val="2"/>
    </font>
    <font>
      <u/>
      <sz val="8"/>
      <name val="Calibri"/>
      <family val="2"/>
      <scheme val="minor"/>
    </font>
    <font>
      <vertAlign val="superscript"/>
      <sz val="9"/>
      <color rgb="FFFF0000"/>
      <name val="Arial"/>
      <family val="2"/>
    </font>
    <font>
      <sz val="11"/>
      <name val="Arial"/>
      <family val="2"/>
    </font>
    <font>
      <sz val="11"/>
      <color rgb="FFFF0000"/>
      <name val="Arial"/>
      <family val="2"/>
    </font>
    <font>
      <sz val="8"/>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Times New Roman"/>
      <family val="1"/>
    </font>
    <font>
      <b/>
      <sz val="10"/>
      <color theme="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12"/>
      <color theme="1"/>
      <name val="Times New Roman"/>
      <family val="1"/>
    </font>
    <font>
      <b/>
      <sz val="10"/>
      <name val="Calibri"/>
      <family val="2"/>
      <scheme val="minor"/>
    </font>
    <font>
      <b/>
      <sz val="10"/>
      <color theme="0"/>
      <name val="Arial"/>
      <family val="2"/>
    </font>
    <font>
      <b/>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9" fillId="0" borderId="0" applyFont="0" applyFill="0" applyBorder="0" applyAlignment="0" applyProtection="0"/>
    <xf numFmtId="0" fontId="6" fillId="0" borderId="0"/>
    <xf numFmtId="164" fontId="19" fillId="0" borderId="0" applyFont="0" applyFill="0" applyBorder="0" applyAlignment="0" applyProtection="0"/>
  </cellStyleXfs>
  <cellXfs count="509">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0" fontId="3" fillId="0" borderId="1" xfId="3" applyNumberFormat="1" applyFont="1" applyBorder="1" applyAlignment="1">
      <alignment vertical="center"/>
    </xf>
    <xf numFmtId="10" fontId="5" fillId="2" borderId="1" xfId="3" applyNumberFormat="1" applyFont="1" applyFill="1" applyBorder="1" applyAlignment="1">
      <alignment vertical="center"/>
    </xf>
    <xf numFmtId="10" fontId="3" fillId="0" borderId="1" xfId="0" applyNumberFormat="1" applyFont="1" applyBorder="1" applyAlignment="1">
      <alignment vertical="center"/>
    </xf>
    <xf numFmtId="0" fontId="3" fillId="4" borderId="1" xfId="0" applyFont="1" applyFill="1" applyBorder="1" applyAlignment="1">
      <alignment horizontal="center" vertical="center"/>
    </xf>
    <xf numFmtId="43" fontId="3" fillId="0" borderId="1" xfId="1" applyFont="1" applyBorder="1" applyAlignment="1">
      <alignment vertical="center"/>
    </xf>
    <xf numFmtId="0" fontId="7" fillId="0" borderId="1" xfId="0" applyFont="1" applyBorder="1" applyAlignment="1">
      <alignment vertical="center"/>
    </xf>
    <xf numFmtId="44" fontId="3" fillId="0" borderId="0" xfId="2" applyFont="1" applyAlignment="1">
      <alignment vertical="center"/>
    </xf>
    <xf numFmtId="43" fontId="3" fillId="0" borderId="0" xfId="0" applyNumberFormat="1" applyFont="1" applyAlignment="1">
      <alignment vertical="center"/>
    </xf>
    <xf numFmtId="0" fontId="8" fillId="0" borderId="0" xfId="0" applyFont="1" applyAlignment="1">
      <alignment vertical="center"/>
    </xf>
    <xf numFmtId="10" fontId="5" fillId="2" borderId="1" xfId="3" applyNumberFormat="1" applyFont="1" applyFill="1" applyBorder="1" applyAlignment="1">
      <alignment horizontal="right" vertical="center"/>
    </xf>
    <xf numFmtId="10" fontId="6" fillId="0" borderId="1" xfId="0" applyNumberFormat="1" applyFont="1" applyBorder="1" applyAlignment="1">
      <alignment horizontal="right" vertical="center"/>
    </xf>
    <xf numFmtId="10" fontId="10" fillId="2" borderId="1" xfId="0" applyNumberFormat="1" applyFont="1" applyFill="1" applyBorder="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vertical="center"/>
    </xf>
    <xf numFmtId="43" fontId="3" fillId="2" borderId="1" xfId="1" applyFont="1" applyFill="1" applyBorder="1" applyAlignment="1">
      <alignment vertical="center"/>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5" fillId="2" borderId="5" xfId="0" applyFont="1" applyFill="1" applyBorder="1" applyAlignment="1">
      <alignment horizontal="center" vertical="center"/>
    </xf>
    <xf numFmtId="0" fontId="5" fillId="0" borderId="4" xfId="0" applyFont="1" applyBorder="1" applyAlignment="1">
      <alignment horizontal="center" vertical="center"/>
    </xf>
    <xf numFmtId="43" fontId="9" fillId="3" borderId="5" xfId="1" applyFont="1" applyFill="1" applyBorder="1" applyAlignment="1">
      <alignment vertical="center"/>
    </xf>
    <xf numFmtId="43" fontId="4" fillId="2" borderId="5" xfId="1" applyFont="1" applyFill="1" applyBorder="1" applyAlignment="1">
      <alignment horizontal="center" vertical="center"/>
    </xf>
    <xf numFmtId="43" fontId="4" fillId="2" borderId="5" xfId="1" applyFont="1" applyFill="1" applyBorder="1" applyAlignment="1">
      <alignment vertical="center"/>
    </xf>
    <xf numFmtId="0" fontId="7" fillId="0" borderId="4" xfId="0" applyFont="1" applyBorder="1" applyAlignment="1">
      <alignment horizontal="center" vertical="center"/>
    </xf>
    <xf numFmtId="43" fontId="6" fillId="3" borderId="5" xfId="1" applyFont="1" applyFill="1" applyBorder="1" applyAlignment="1">
      <alignment horizontal="right" vertical="center"/>
    </xf>
    <xf numFmtId="43" fontId="3" fillId="3" borderId="5" xfId="1" applyFont="1" applyFill="1" applyBorder="1" applyAlignment="1">
      <alignment vertical="center"/>
    </xf>
    <xf numFmtId="43" fontId="5" fillId="2" borderId="5" xfId="1" applyFont="1" applyFill="1" applyBorder="1" applyAlignment="1">
      <alignment vertical="center"/>
    </xf>
    <xf numFmtId="43" fontId="4" fillId="2" borderId="13" xfId="1" applyFont="1" applyFill="1" applyBorder="1" applyAlignment="1">
      <alignment vertical="center"/>
    </xf>
    <xf numFmtId="10" fontId="6" fillId="0" borderId="1" xfId="0" applyNumberFormat="1" applyFont="1" applyBorder="1" applyAlignment="1">
      <alignment vertical="center"/>
    </xf>
    <xf numFmtId="43" fontId="10" fillId="3" borderId="5" xfId="1" applyFont="1" applyFill="1" applyBorder="1" applyAlignment="1">
      <alignment vertical="center"/>
    </xf>
    <xf numFmtId="0" fontId="5" fillId="0" borderId="1" xfId="0" applyFont="1" applyBorder="1" applyAlignment="1">
      <alignment vertical="center"/>
    </xf>
    <xf numFmtId="10" fontId="10" fillId="0" borderId="1" xfId="0" applyNumberFormat="1" applyFont="1" applyBorder="1" applyAlignment="1">
      <alignment vertical="center"/>
    </xf>
    <xf numFmtId="10" fontId="6" fillId="0" borderId="1" xfId="3"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3" fillId="0" borderId="0" xfId="3" applyNumberFormat="1" applyFont="1" applyAlignment="1">
      <alignment vertical="center"/>
    </xf>
    <xf numFmtId="0" fontId="13" fillId="4" borderId="0" xfId="0" applyFont="1" applyFill="1"/>
    <xf numFmtId="0" fontId="13" fillId="4"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center"/>
    </xf>
    <xf numFmtId="0" fontId="13" fillId="4" borderId="0" xfId="0" applyFont="1" applyFill="1" applyAlignment="1">
      <alignment vertical="center"/>
    </xf>
    <xf numFmtId="0" fontId="15" fillId="3" borderId="1" xfId="0" applyFont="1" applyFill="1" applyBorder="1" applyAlignment="1">
      <alignment horizontal="center" vertical="center"/>
    </xf>
    <xf numFmtId="0" fontId="13"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8" fillId="4" borderId="1" xfId="0" applyFont="1" applyFill="1" applyBorder="1" applyAlignment="1">
      <alignment horizontal="justify" vertical="center"/>
    </xf>
    <xf numFmtId="0" fontId="13" fillId="0" borderId="0" xfId="0" applyFont="1"/>
    <xf numFmtId="0" fontId="18" fillId="4" borderId="1" xfId="0" applyFont="1" applyFill="1" applyBorder="1" applyAlignment="1">
      <alignment horizontal="justify" vertical="center" wrapText="1"/>
    </xf>
    <xf numFmtId="0" fontId="16" fillId="0" borderId="1" xfId="0" applyFont="1" applyBorder="1" applyAlignment="1">
      <alignment vertical="center" wrapText="1"/>
    </xf>
    <xf numFmtId="0" fontId="13" fillId="4" borderId="0" xfId="0" applyFont="1" applyFill="1" applyAlignment="1">
      <alignment horizontal="left" vertical="center" indent="3"/>
    </xf>
    <xf numFmtId="0" fontId="13" fillId="0" borderId="0" xfId="0" applyFont="1" applyAlignment="1">
      <alignment horizontal="left" vertical="center" indent="3"/>
    </xf>
    <xf numFmtId="0" fontId="25" fillId="4" borderId="0" xfId="0" applyFont="1" applyFill="1" applyAlignment="1">
      <alignment horizontal="center" vertical="center"/>
    </xf>
    <xf numFmtId="0" fontId="25" fillId="4" borderId="0" xfId="0" applyFont="1" applyFill="1"/>
    <xf numFmtId="0" fontId="26" fillId="4" borderId="0" xfId="0" applyFont="1" applyFill="1" applyAlignment="1">
      <alignment horizontal="center"/>
    </xf>
    <xf numFmtId="9" fontId="15" fillId="3" borderId="1" xfId="5" applyFont="1" applyFill="1" applyBorder="1" applyAlignment="1" applyProtection="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10" fontId="16" fillId="4" borderId="1" xfId="6" applyNumberFormat="1" applyFont="1" applyFill="1" applyBorder="1" applyAlignment="1">
      <alignment horizontal="center" vertical="center"/>
    </xf>
    <xf numFmtId="0" fontId="18" fillId="4" borderId="1" xfId="0" applyFont="1" applyFill="1" applyBorder="1" applyAlignment="1">
      <alignment vertical="center"/>
    </xf>
    <xf numFmtId="10" fontId="15" fillId="0" borderId="17" xfId="5" applyNumberFormat="1" applyFont="1" applyBorder="1" applyAlignment="1" applyProtection="1">
      <alignment horizontal="center" vertical="center"/>
    </xf>
    <xf numFmtId="0" fontId="25" fillId="0" borderId="17"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left"/>
    </xf>
    <xf numFmtId="10" fontId="26" fillId="0" borderId="0" xfId="5" applyNumberFormat="1" applyFont="1" applyBorder="1" applyAlignment="1" applyProtection="1">
      <alignment horizontal="center"/>
    </xf>
    <xf numFmtId="0" fontId="25" fillId="0" borderId="0" xfId="0" applyFont="1"/>
    <xf numFmtId="10" fontId="16" fillId="0" borderId="1" xfId="6" applyNumberFormat="1" applyFont="1" applyBorder="1" applyAlignment="1">
      <alignment horizontal="center" vertical="center"/>
    </xf>
    <xf numFmtId="0" fontId="16" fillId="0" borderId="14" xfId="0" applyFont="1" applyBorder="1" applyAlignment="1">
      <alignment vertical="center" wrapText="1"/>
    </xf>
    <xf numFmtId="0" fontId="16" fillId="0" borderId="17" xfId="0" applyFont="1" applyBorder="1" applyAlignment="1">
      <alignment vertical="center"/>
    </xf>
    <xf numFmtId="10" fontId="16" fillId="0" borderId="17" xfId="6" applyNumberFormat="1" applyFont="1" applyBorder="1" applyAlignment="1">
      <alignment horizontal="center" vertical="center"/>
    </xf>
    <xf numFmtId="10" fontId="15" fillId="3" borderId="17" xfId="5" applyNumberFormat="1" applyFont="1" applyFill="1" applyBorder="1" applyAlignment="1" applyProtection="1">
      <alignment horizontal="center" vertical="center"/>
    </xf>
    <xf numFmtId="0" fontId="27" fillId="4" borderId="0" xfId="0" applyFont="1" applyFill="1"/>
    <xf numFmtId="0" fontId="27" fillId="0" borderId="0" xfId="0" applyFont="1"/>
    <xf numFmtId="0" fontId="25" fillId="0" borderId="0" xfId="0" applyFont="1" applyAlignment="1">
      <alignment horizontal="center" vertical="center"/>
    </xf>
    <xf numFmtId="0" fontId="18" fillId="0" borderId="14" xfId="0" applyFont="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6" fillId="0" borderId="14" xfId="0" applyFont="1" applyBorder="1"/>
    <xf numFmtId="0" fontId="16" fillId="0" borderId="23" xfId="0" applyFont="1" applyBorder="1"/>
    <xf numFmtId="0" fontId="18" fillId="0" borderId="14" xfId="0" applyFont="1" applyBorder="1"/>
    <xf numFmtId="0" fontId="28" fillId="0" borderId="23" xfId="0" applyFont="1" applyBorder="1"/>
    <xf numFmtId="0" fontId="28" fillId="0" borderId="2" xfId="0" applyFont="1" applyBorder="1"/>
    <xf numFmtId="0" fontId="16" fillId="0" borderId="17" xfId="0" applyFont="1" applyBorder="1" applyAlignment="1">
      <alignment horizontal="center" vertical="center"/>
    </xf>
    <xf numFmtId="0" fontId="16" fillId="0" borderId="15" xfId="0" applyFont="1" applyBorder="1"/>
    <xf numFmtId="0" fontId="16" fillId="0" borderId="3" xfId="0" applyFont="1" applyBorder="1"/>
    <xf numFmtId="0" fontId="28" fillId="0" borderId="3" xfId="0" applyFont="1" applyBorder="1"/>
    <xf numFmtId="0" fontId="28" fillId="0" borderId="16" xfId="0" applyFont="1" applyBorder="1"/>
    <xf numFmtId="10" fontId="15" fillId="3" borderId="1" xfId="5" applyNumberFormat="1" applyFont="1" applyFill="1" applyBorder="1" applyAlignment="1" applyProtection="1">
      <alignment horizontal="center" vertical="center"/>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vertical="center"/>
      <protection hidden="1"/>
    </xf>
    <xf numFmtId="10" fontId="16" fillId="0" borderId="1" xfId="6" applyNumberFormat="1" applyFont="1" applyBorder="1" applyAlignment="1" applyProtection="1">
      <alignment horizontal="center" vertical="center"/>
      <protection hidden="1"/>
    </xf>
    <xf numFmtId="0" fontId="18" fillId="0" borderId="1" xfId="0" applyFont="1" applyBorder="1" applyAlignment="1" applyProtection="1">
      <alignment vertical="center" wrapText="1"/>
      <protection hidden="1"/>
    </xf>
    <xf numFmtId="10" fontId="13" fillId="4" borderId="0" xfId="0" applyNumberFormat="1" applyFont="1" applyFill="1"/>
    <xf numFmtId="0" fontId="16" fillId="4" borderId="1" xfId="0" applyFont="1" applyFill="1" applyBorder="1" applyAlignment="1" applyProtection="1">
      <alignment horizontal="center" vertical="center"/>
      <protection hidden="1"/>
    </xf>
    <xf numFmtId="0" fontId="16" fillId="4" borderId="1" xfId="0" applyFont="1" applyFill="1" applyBorder="1" applyAlignment="1" applyProtection="1">
      <alignment vertical="center"/>
      <protection hidden="1"/>
    </xf>
    <xf numFmtId="10" fontId="16" fillId="4" borderId="1" xfId="6" applyNumberFormat="1" applyFont="1" applyFill="1" applyBorder="1" applyAlignment="1" applyProtection="1">
      <alignment horizontal="center" vertical="center"/>
      <protection hidden="1"/>
    </xf>
    <xf numFmtId="0" fontId="18" fillId="4" borderId="0" xfId="0" applyFont="1" applyFill="1" applyAlignment="1" applyProtection="1">
      <alignment vertical="center"/>
      <protection hidden="1"/>
    </xf>
    <xf numFmtId="4" fontId="18" fillId="4" borderId="2" xfId="7" applyNumberFormat="1" applyFont="1" applyFill="1" applyBorder="1" applyAlignment="1" applyProtection="1">
      <alignment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165" fontId="18" fillId="0" borderId="1" xfId="6" applyNumberFormat="1" applyFont="1" applyBorder="1" applyAlignment="1" applyProtection="1">
      <alignment horizontal="center" vertical="center"/>
      <protection hidden="1"/>
    </xf>
    <xf numFmtId="10" fontId="15" fillId="3" borderId="1" xfId="5" applyNumberFormat="1" applyFont="1" applyFill="1" applyBorder="1" applyAlignment="1" applyProtection="1">
      <alignment horizontal="center"/>
      <protection hidden="1"/>
    </xf>
    <xf numFmtId="4" fontId="15" fillId="3" borderId="14" xfId="7" applyNumberFormat="1" applyFont="1" applyFill="1" applyBorder="1" applyAlignment="1" applyProtection="1">
      <alignment horizontal="left"/>
      <protection hidden="1"/>
    </xf>
    <xf numFmtId="4" fontId="15" fillId="3" borderId="23" xfId="7" applyNumberFormat="1" applyFont="1" applyFill="1" applyBorder="1" applyAlignment="1" applyProtection="1">
      <alignment horizontal="left"/>
      <protection hidden="1"/>
    </xf>
    <xf numFmtId="0" fontId="24" fillId="3" borderId="2" xfId="0" applyFont="1" applyFill="1" applyBorder="1" applyAlignment="1" applyProtection="1">
      <alignment horizontal="left" vertical="center"/>
      <protection hidden="1"/>
    </xf>
    <xf numFmtId="0" fontId="24" fillId="3" borderId="2" xfId="0" applyFont="1" applyFill="1" applyBorder="1" applyAlignment="1" applyProtection="1">
      <alignment vertical="center"/>
      <protection hidden="1"/>
    </xf>
    <xf numFmtId="0" fontId="26" fillId="0" borderId="0" xfId="0" applyFont="1" applyAlignment="1">
      <alignment vertical="justify"/>
    </xf>
    <xf numFmtId="0" fontId="25" fillId="0" borderId="0" xfId="0" applyFont="1" applyAlignment="1">
      <alignment horizontal="left" vertical="justify"/>
    </xf>
    <xf numFmtId="0" fontId="16" fillId="4" borderId="14" xfId="0" applyFont="1" applyFill="1" applyBorder="1" applyAlignment="1">
      <alignment vertical="center"/>
    </xf>
    <xf numFmtId="0" fontId="16" fillId="0" borderId="14"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16" fillId="0" borderId="17" xfId="0" applyFont="1" applyBorder="1" applyAlignment="1">
      <alignment horizontal="left" vertical="center"/>
    </xf>
    <xf numFmtId="0" fontId="18" fillId="4" borderId="1" xfId="0" applyFont="1" applyFill="1" applyBorder="1" applyAlignment="1">
      <alignment horizontal="left" vertical="center" wrapText="1"/>
    </xf>
    <xf numFmtId="10" fontId="16" fillId="0" borderId="24" xfId="5" applyNumberFormat="1" applyFont="1" applyBorder="1" applyAlignment="1" applyProtection="1">
      <alignment horizontal="center" vertical="center"/>
    </xf>
    <xf numFmtId="0" fontId="13" fillId="4" borderId="0" xfId="0" applyFont="1" applyFill="1" applyAlignment="1">
      <alignment horizontal="justify" vertical="center" wrapText="1"/>
    </xf>
    <xf numFmtId="166" fontId="13" fillId="4" borderId="0" xfId="3" applyNumberFormat="1" applyFont="1" applyFill="1" applyAlignment="1">
      <alignment horizontal="justify" vertical="center" wrapText="1"/>
    </xf>
    <xf numFmtId="10" fontId="13" fillId="0" borderId="0" xfId="3" applyNumberFormat="1" applyFont="1"/>
    <xf numFmtId="0" fontId="25" fillId="0" borderId="18" xfId="0" applyFont="1" applyBorder="1" applyAlignment="1">
      <alignment vertical="center" wrapText="1"/>
    </xf>
    <xf numFmtId="9" fontId="13" fillId="0" borderId="0" xfId="3" applyFont="1"/>
    <xf numFmtId="0" fontId="13" fillId="0" borderId="0" xfId="0" applyFont="1" applyAlignment="1">
      <alignment horizontal="center" vertical="center"/>
    </xf>
    <xf numFmtId="0" fontId="13" fillId="4" borderId="0" xfId="0" applyFont="1" applyFill="1" applyAlignment="1">
      <alignment horizontal="center"/>
    </xf>
    <xf numFmtId="0" fontId="13" fillId="0" borderId="0" xfId="0" applyFont="1" applyAlignment="1">
      <alignment horizontal="center"/>
    </xf>
    <xf numFmtId="0" fontId="31" fillId="4" borderId="0" xfId="0" applyFont="1" applyFill="1" applyAlignment="1">
      <alignment horizontal="justify" vertical="center"/>
    </xf>
    <xf numFmtId="0" fontId="16" fillId="0" borderId="23" xfId="0" applyFont="1" applyBorder="1" applyAlignment="1">
      <alignment vertical="center"/>
    </xf>
    <xf numFmtId="0" fontId="16" fillId="0" borderId="23" xfId="0" applyFont="1" applyBorder="1" applyAlignment="1">
      <alignment horizontal="left"/>
    </xf>
    <xf numFmtId="0" fontId="16" fillId="0" borderId="23" xfId="0" applyFont="1" applyBorder="1" applyAlignment="1" applyProtection="1">
      <alignment vertical="center"/>
      <protection locked="0"/>
    </xf>
    <xf numFmtId="10" fontId="15" fillId="3" borderId="1" xfId="0" applyNumberFormat="1" applyFont="1" applyFill="1" applyBorder="1" applyAlignment="1">
      <alignment horizontal="center" vertical="center"/>
    </xf>
    <xf numFmtId="10" fontId="16" fillId="4" borderId="1" xfId="5" applyNumberFormat="1" applyFont="1" applyFill="1" applyBorder="1" applyAlignment="1" applyProtection="1">
      <alignment horizontal="center" vertical="center"/>
    </xf>
    <xf numFmtId="0" fontId="13" fillId="0" borderId="15" xfId="0" applyFont="1" applyBorder="1"/>
    <xf numFmtId="0" fontId="13" fillId="0" borderId="3" xfId="0" applyFont="1" applyBorder="1"/>
    <xf numFmtId="0" fontId="13" fillId="0" borderId="16" xfId="0" applyFont="1" applyBorder="1"/>
    <xf numFmtId="0" fontId="6" fillId="4" borderId="18" xfId="0" applyFont="1" applyFill="1" applyBorder="1"/>
    <xf numFmtId="0" fontId="6" fillId="4" borderId="0" xfId="0" applyFont="1" applyFill="1"/>
    <xf numFmtId="0" fontId="6" fillId="4" borderId="19" xfId="0" applyFont="1" applyFill="1" applyBorder="1"/>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indent="1"/>
    </xf>
    <xf numFmtId="10" fontId="18" fillId="4" borderId="1" xfId="5" applyNumberFormat="1" applyFont="1" applyFill="1" applyBorder="1" applyAlignment="1" applyProtection="1">
      <alignment horizontal="center" vertical="center"/>
    </xf>
    <xf numFmtId="0" fontId="32" fillId="0" borderId="18" xfId="0" applyFont="1" applyBorder="1"/>
    <xf numFmtId="0" fontId="32" fillId="0" borderId="0" xfId="0" applyFont="1"/>
    <xf numFmtId="0" fontId="32" fillId="0" borderId="19" xfId="0" applyFont="1" applyBorder="1"/>
    <xf numFmtId="0" fontId="16" fillId="4" borderId="17" xfId="0" applyFont="1" applyFill="1" applyBorder="1" applyAlignment="1">
      <alignment horizontal="center" vertical="center"/>
    </xf>
    <xf numFmtId="0" fontId="16" fillId="4" borderId="17" xfId="0" applyFont="1" applyFill="1" applyBorder="1" applyAlignment="1">
      <alignment vertical="center"/>
    </xf>
    <xf numFmtId="10" fontId="16" fillId="4" borderId="17" xfId="5" applyNumberFormat="1" applyFont="1" applyFill="1" applyBorder="1" applyAlignment="1" applyProtection="1">
      <alignment horizontal="center" vertical="center"/>
    </xf>
    <xf numFmtId="4" fontId="25" fillId="4" borderId="18" xfId="7" applyNumberFormat="1" applyFont="1" applyFill="1" applyBorder="1" applyAlignment="1" applyProtection="1">
      <alignment horizontal="left"/>
    </xf>
    <xf numFmtId="4" fontId="25" fillId="4" borderId="0" xfId="7" applyNumberFormat="1" applyFont="1" applyFill="1" applyBorder="1" applyAlignment="1" applyProtection="1">
      <alignment horizontal="left"/>
    </xf>
    <xf numFmtId="4" fontId="25" fillId="4" borderId="19" xfId="7" applyNumberFormat="1" applyFont="1" applyFill="1" applyBorder="1" applyAlignment="1" applyProtection="1">
      <alignment horizontal="left"/>
    </xf>
    <xf numFmtId="0" fontId="16" fillId="4" borderId="17" xfId="0" applyFont="1" applyFill="1" applyBorder="1" applyAlignment="1">
      <alignment horizontal="left" vertical="center"/>
    </xf>
    <xf numFmtId="0" fontId="33" fillId="4" borderId="20" xfId="0" applyFont="1" applyFill="1" applyBorder="1"/>
    <xf numFmtId="0" fontId="33" fillId="4" borderId="21" xfId="0" applyFont="1" applyFill="1" applyBorder="1"/>
    <xf numFmtId="0" fontId="33" fillId="4" borderId="22" xfId="0" applyFont="1" applyFill="1" applyBorder="1"/>
    <xf numFmtId="0" fontId="10" fillId="0" borderId="0" xfId="0" applyFont="1" applyAlignment="1">
      <alignment horizontal="center" vertical="center" wrapText="1"/>
    </xf>
    <xf numFmtId="0" fontId="6" fillId="0" borderId="0" xfId="0" applyFont="1" applyAlignment="1">
      <alignment horizontal="left" vertical="center" wrapText="1"/>
    </xf>
    <xf numFmtId="10" fontId="24" fillId="2" borderId="1" xfId="3"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left" vertical="center" wrapText="1"/>
      <protection hidden="1"/>
    </xf>
    <xf numFmtId="10" fontId="18" fillId="4" borderId="1" xfId="3"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10" fontId="18" fillId="4" borderId="1" xfId="0" applyNumberFormat="1" applyFont="1" applyFill="1" applyBorder="1" applyAlignment="1" applyProtection="1">
      <alignment horizontal="center" vertical="center"/>
      <protection hidden="1"/>
    </xf>
    <xf numFmtId="10" fontId="18" fillId="0" borderId="1" xfId="3" applyNumberFormat="1" applyFont="1" applyFill="1" applyBorder="1" applyAlignment="1" applyProtection="1">
      <alignment horizontal="center" vertical="center" wrapText="1"/>
      <protection hidden="1"/>
    </xf>
    <xf numFmtId="0" fontId="34" fillId="0" borderId="0" xfId="0" applyFont="1"/>
    <xf numFmtId="0" fontId="0" fillId="0" borderId="0" xfId="0" quotePrefix="1"/>
    <xf numFmtId="0" fontId="12" fillId="0" borderId="0" xfId="4"/>
    <xf numFmtId="0" fontId="36" fillId="0" borderId="0" xfId="0" applyFont="1" applyAlignment="1">
      <alignment vertical="center"/>
    </xf>
    <xf numFmtId="0" fontId="0" fillId="0" borderId="0" xfId="0" applyAlignment="1">
      <alignment vertical="center"/>
    </xf>
    <xf numFmtId="0" fontId="37" fillId="0" borderId="25" xfId="0" applyFont="1" applyBorder="1" applyAlignment="1">
      <alignment horizontal="center" vertical="center" wrapText="1"/>
    </xf>
    <xf numFmtId="167"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0" fontId="11" fillId="0" borderId="0" xfId="0" applyFont="1" applyAlignment="1">
      <alignment vertical="center" wrapText="1"/>
    </xf>
    <xf numFmtId="167" fontId="36" fillId="0" borderId="25" xfId="0" applyNumberFormat="1" applyFont="1" applyBorder="1" applyAlignment="1">
      <alignment vertical="center"/>
    </xf>
    <xf numFmtId="167" fontId="36" fillId="0" borderId="30" xfId="0" applyNumberFormat="1" applyFont="1" applyBorder="1" applyAlignment="1">
      <alignment vertical="center"/>
    </xf>
    <xf numFmtId="167" fontId="36" fillId="0" borderId="31" xfId="0" applyNumberFormat="1" applyFont="1" applyBorder="1" applyAlignment="1">
      <alignment vertical="center"/>
    </xf>
    <xf numFmtId="44" fontId="37" fillId="2" borderId="25" xfId="2"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6" fillId="0" borderId="7" xfId="0" applyFont="1" applyBorder="1" applyAlignment="1">
      <alignment vertical="center"/>
    </xf>
    <xf numFmtId="0" fontId="37" fillId="0" borderId="33" xfId="0" applyFont="1" applyBorder="1" applyAlignment="1">
      <alignment horizontal="center" vertical="center" wrapText="1"/>
    </xf>
    <xf numFmtId="0" fontId="36" fillId="0" borderId="33" xfId="0" applyFont="1" applyBorder="1" applyAlignment="1">
      <alignment vertical="center"/>
    </xf>
    <xf numFmtId="0" fontId="36" fillId="0" borderId="6" xfId="0" applyFont="1" applyBorder="1" applyAlignment="1">
      <alignment vertical="center"/>
    </xf>
    <xf numFmtId="0" fontId="37" fillId="2" borderId="33" xfId="0" applyFont="1" applyFill="1" applyBorder="1" applyAlignment="1">
      <alignment horizontal="center" vertical="center" wrapText="1"/>
    </xf>
    <xf numFmtId="0" fontId="37" fillId="2" borderId="35" xfId="0" applyFont="1" applyFill="1" applyBorder="1" applyAlignment="1">
      <alignment horizontal="center" vertical="center" wrapText="1"/>
    </xf>
    <xf numFmtId="167" fontId="37" fillId="0" borderId="35" xfId="0" applyNumberFormat="1" applyFont="1" applyBorder="1" applyAlignment="1">
      <alignment vertical="center"/>
    </xf>
    <xf numFmtId="167" fontId="37" fillId="0" borderId="37" xfId="0" applyNumberFormat="1" applyFont="1" applyBorder="1" applyAlignment="1">
      <alignment vertical="center"/>
    </xf>
    <xf numFmtId="0" fontId="36" fillId="0" borderId="38" xfId="0" applyFont="1" applyBorder="1" applyAlignment="1">
      <alignment vertical="center"/>
    </xf>
    <xf numFmtId="167" fontId="36" fillId="0" borderId="39" xfId="0" applyNumberFormat="1" applyFont="1" applyBorder="1" applyAlignment="1">
      <alignment vertical="center"/>
    </xf>
    <xf numFmtId="167" fontId="37" fillId="0" borderId="40" xfId="0" applyNumberFormat="1" applyFont="1" applyBorder="1" applyAlignment="1">
      <alignment vertical="center"/>
    </xf>
    <xf numFmtId="10" fontId="36" fillId="0" borderId="25" xfId="0" applyNumberFormat="1" applyFont="1" applyBorder="1" applyAlignment="1">
      <alignment horizontal="center" vertical="center"/>
    </xf>
    <xf numFmtId="10" fontId="36" fillId="0" borderId="31" xfId="0" applyNumberFormat="1" applyFont="1" applyBorder="1" applyAlignment="1">
      <alignment horizontal="center" vertical="center"/>
    </xf>
    <xf numFmtId="10" fontId="36" fillId="0" borderId="39" xfId="0" applyNumberFormat="1" applyFont="1" applyBorder="1" applyAlignment="1">
      <alignment horizontal="center" vertical="center"/>
    </xf>
    <xf numFmtId="0" fontId="39" fillId="0" borderId="0" xfId="0" applyFont="1" applyAlignment="1">
      <alignment vertical="center"/>
    </xf>
    <xf numFmtId="0" fontId="36" fillId="0" borderId="33" xfId="0" applyFont="1" applyBorder="1" applyAlignment="1">
      <alignment horizontal="center" vertical="center" wrapText="1"/>
    </xf>
    <xf numFmtId="0" fontId="36" fillId="0" borderId="41" xfId="0" applyFont="1" applyBorder="1" applyAlignment="1">
      <alignment vertical="center"/>
    </xf>
    <xf numFmtId="0" fontId="36" fillId="0" borderId="42" xfId="0" applyFont="1" applyBorder="1" applyAlignment="1">
      <alignment vertical="center"/>
    </xf>
    <xf numFmtId="166" fontId="36" fillId="0" borderId="1" xfId="3" applyNumberFormat="1" applyFont="1" applyFill="1" applyBorder="1" applyAlignment="1">
      <alignment vertical="center"/>
    </xf>
    <xf numFmtId="167" fontId="37" fillId="2" borderId="1" xfId="0" applyNumberFormat="1" applyFont="1" applyFill="1" applyBorder="1" applyAlignment="1">
      <alignment vertical="center"/>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0" borderId="1" xfId="0" applyFont="1" applyBorder="1" applyAlignment="1">
      <alignment vertical="center"/>
    </xf>
    <xf numFmtId="167" fontId="36" fillId="2" borderId="1" xfId="0" applyNumberFormat="1" applyFont="1" applyFill="1" applyBorder="1" applyAlignment="1">
      <alignment vertical="center"/>
    </xf>
    <xf numFmtId="167" fontId="36" fillId="0" borderId="1" xfId="0" applyNumberFormat="1" applyFont="1" applyBorder="1" applyAlignment="1">
      <alignment vertical="center"/>
    </xf>
    <xf numFmtId="0" fontId="34" fillId="0" borderId="6" xfId="0" applyFont="1" applyBorder="1" applyAlignment="1">
      <alignment vertical="center"/>
    </xf>
    <xf numFmtId="0" fontId="36" fillId="0" borderId="6" xfId="0" applyFont="1" applyBorder="1" applyAlignment="1">
      <alignment vertical="center" wrapText="1"/>
    </xf>
    <xf numFmtId="0" fontId="36" fillId="0" borderId="0" xfId="0" applyFont="1" applyAlignment="1">
      <alignment vertical="center" wrapText="1"/>
    </xf>
    <xf numFmtId="167" fontId="42" fillId="0" borderId="1" xfId="0" applyNumberFormat="1" applyFont="1" applyBorder="1" applyAlignment="1">
      <alignment vertical="center"/>
    </xf>
    <xf numFmtId="167" fontId="42" fillId="0" borderId="1" xfId="0" quotePrefix="1" applyNumberFormat="1" applyFont="1" applyBorder="1" applyAlignment="1">
      <alignment vertical="center"/>
    </xf>
    <xf numFmtId="2" fontId="8" fillId="0" borderId="0" xfId="0" applyNumberFormat="1" applyFont="1" applyAlignment="1">
      <alignment vertical="center"/>
    </xf>
    <xf numFmtId="0" fontId="37"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1" xfId="0" applyFont="1" applyBorder="1" applyAlignment="1">
      <alignment horizontal="center" vertical="center"/>
    </xf>
    <xf numFmtId="0" fontId="39" fillId="0" borderId="7" xfId="0" applyFont="1" applyBorder="1" applyAlignment="1">
      <alignment vertical="center"/>
    </xf>
    <xf numFmtId="0" fontId="36" fillId="0" borderId="7" xfId="0" applyFont="1" applyBorder="1" applyAlignment="1">
      <alignment vertical="center" wrapText="1"/>
    </xf>
    <xf numFmtId="0" fontId="40" fillId="2" borderId="5" xfId="0" applyFont="1" applyFill="1" applyBorder="1" applyAlignment="1">
      <alignment horizontal="center" vertical="center" wrapText="1"/>
    </xf>
    <xf numFmtId="167" fontId="37" fillId="2" borderId="5" xfId="0" applyNumberFormat="1" applyFont="1" applyFill="1" applyBorder="1" applyAlignment="1">
      <alignment vertical="center"/>
    </xf>
    <xf numFmtId="167" fontId="36" fillId="0" borderId="4" xfId="0" applyNumberFormat="1" applyFont="1" applyBorder="1" applyAlignment="1">
      <alignment vertical="center"/>
    </xf>
    <xf numFmtId="0" fontId="42" fillId="0" borderId="4" xfId="0" applyFont="1" applyBorder="1" applyAlignment="1">
      <alignment vertical="center"/>
    </xf>
    <xf numFmtId="0" fontId="41" fillId="0" borderId="46" xfId="0" applyFont="1" applyBorder="1" applyAlignment="1">
      <alignment horizontal="center" vertical="center" wrapText="1"/>
    </xf>
    <xf numFmtId="0" fontId="41" fillId="0" borderId="4" xfId="0" applyFont="1" applyBorder="1" applyAlignment="1">
      <alignment horizontal="center" vertical="center" wrapText="1"/>
    </xf>
    <xf numFmtId="167" fontId="45" fillId="0" borderId="24"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39" fillId="0" borderId="0" xfId="0" applyFont="1" applyAlignment="1">
      <alignment vertical="center" wrapText="1"/>
    </xf>
    <xf numFmtId="0" fontId="39" fillId="0" borderId="6" xfId="0" applyFont="1" applyBorder="1" applyAlignment="1">
      <alignment vertical="center"/>
    </xf>
    <xf numFmtId="0" fontId="34" fillId="0" borderId="42" xfId="0" applyFont="1" applyBorder="1" applyAlignment="1">
      <alignment vertical="center"/>
    </xf>
    <xf numFmtId="0" fontId="46" fillId="0" borderId="0" xfId="0" applyFont="1" applyAlignment="1">
      <alignment vertical="center"/>
    </xf>
    <xf numFmtId="0" fontId="47" fillId="2" borderId="1"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5" xfId="0" applyFont="1" applyFill="1" applyBorder="1" applyAlignment="1">
      <alignment horizontal="center" vertical="center"/>
    </xf>
    <xf numFmtId="167" fontId="36" fillId="0" borderId="5" xfId="0" applyNumberFormat="1" applyFont="1" applyBorder="1" applyAlignment="1">
      <alignment vertical="center"/>
    </xf>
    <xf numFmtId="167" fontId="47" fillId="2" borderId="5" xfId="0" applyNumberFormat="1" applyFont="1" applyFill="1" applyBorder="1" applyAlignment="1">
      <alignment vertical="center"/>
    </xf>
    <xf numFmtId="43" fontId="3" fillId="2" borderId="5"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5" fillId="2" borderId="24" xfId="0" applyFont="1" applyFill="1" applyBorder="1" applyAlignment="1">
      <alignment horizontal="center" vertical="center"/>
    </xf>
    <xf numFmtId="10" fontId="4" fillId="2" borderId="1" xfId="0" applyNumberFormat="1" applyFont="1" applyFill="1" applyBorder="1" applyAlignment="1">
      <alignment vertical="center"/>
    </xf>
    <xf numFmtId="0" fontId="48" fillId="6" borderId="1" xfId="0" applyFont="1" applyFill="1" applyBorder="1" applyAlignment="1" applyProtection="1">
      <alignment horizontal="center" vertical="center" wrapText="1"/>
      <protection hidden="1"/>
    </xf>
    <xf numFmtId="10" fontId="49" fillId="6" borderId="1" xfId="3" applyNumberFormat="1" applyFont="1" applyFill="1" applyBorder="1" applyAlignment="1" applyProtection="1">
      <alignment horizontal="center" vertical="center" wrapText="1"/>
      <protection hidden="1"/>
    </xf>
    <xf numFmtId="10" fontId="9" fillId="3" borderId="1" xfId="3" applyNumberFormat="1" applyFont="1" applyFill="1" applyBorder="1" applyAlignment="1">
      <alignment vertical="center"/>
    </xf>
    <xf numFmtId="10" fontId="9" fillId="3" borderId="1" xfId="0" applyNumberFormat="1" applyFont="1" applyFill="1" applyBorder="1" applyAlignment="1">
      <alignment vertical="center"/>
    </xf>
    <xf numFmtId="10" fontId="4" fillId="2" borderId="1" xfId="3" applyNumberFormat="1" applyFont="1" applyFill="1" applyBorder="1" applyAlignment="1">
      <alignment vertical="center"/>
    </xf>
    <xf numFmtId="10" fontId="6" fillId="3" borderId="1" xfId="0" applyNumberFormat="1" applyFont="1" applyFill="1" applyBorder="1" applyAlignment="1">
      <alignment vertical="center"/>
    </xf>
    <xf numFmtId="0" fontId="36" fillId="0" borderId="45" xfId="0" applyFont="1" applyBorder="1" applyAlignment="1">
      <alignment vertical="center"/>
    </xf>
    <xf numFmtId="0" fontId="42" fillId="0" borderId="11" xfId="0" applyFont="1" applyBorder="1" applyAlignment="1">
      <alignment vertical="center"/>
    </xf>
    <xf numFmtId="167" fontId="36" fillId="0" borderId="12" xfId="0" applyNumberFormat="1" applyFont="1" applyBorder="1" applyAlignment="1">
      <alignment vertical="center"/>
    </xf>
    <xf numFmtId="166" fontId="36" fillId="0" borderId="12" xfId="3" applyNumberFormat="1" applyFont="1" applyFill="1" applyBorder="1" applyAlignment="1">
      <alignment vertical="center"/>
    </xf>
    <xf numFmtId="167" fontId="37" fillId="2" borderId="13" xfId="0" applyNumberFormat="1" applyFont="1" applyFill="1" applyBorder="1" applyAlignment="1">
      <alignment vertical="center"/>
    </xf>
    <xf numFmtId="0" fontId="37" fillId="2" borderId="55"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6" fillId="0" borderId="34" xfId="0" applyFont="1" applyBorder="1" applyAlignment="1">
      <alignment horizontal="center" vertical="center"/>
    </xf>
    <xf numFmtId="0" fontId="0" fillId="0" borderId="1" xfId="0" applyBorder="1"/>
    <xf numFmtId="0" fontId="37" fillId="2" borderId="1" xfId="0" applyFont="1" applyFill="1" applyBorder="1" applyAlignment="1">
      <alignment horizontal="left" vertical="center"/>
    </xf>
    <xf numFmtId="167" fontId="37" fillId="2" borderId="25" xfId="0" applyNumberFormat="1" applyFont="1" applyFill="1" applyBorder="1" applyAlignment="1">
      <alignment horizontal="center" vertical="center"/>
    </xf>
    <xf numFmtId="0" fontId="34" fillId="0" borderId="0" xfId="0" applyFont="1" applyAlignment="1">
      <alignment vertical="center"/>
    </xf>
    <xf numFmtId="0" fontId="0" fillId="0" borderId="14" xfId="0" applyBorder="1" applyAlignment="1">
      <alignment vertical="center"/>
    </xf>
    <xf numFmtId="0" fontId="36" fillId="0" borderId="23" xfId="0" applyFont="1" applyBorder="1" applyAlignment="1">
      <alignment vertical="center"/>
    </xf>
    <xf numFmtId="0" fontId="12" fillId="0" borderId="23" xfId="4" applyBorder="1" applyAlignment="1">
      <alignment vertical="center"/>
    </xf>
    <xf numFmtId="0" fontId="36" fillId="0" borderId="2" xfId="0" applyFont="1" applyBorder="1" applyAlignment="1">
      <alignment vertical="center"/>
    </xf>
    <xf numFmtId="0" fontId="45" fillId="4" borderId="1" xfId="0" applyFont="1" applyFill="1" applyBorder="1" applyAlignment="1">
      <alignment horizontal="left" vertical="center"/>
    </xf>
    <xf numFmtId="0" fontId="45" fillId="4" borderId="1" xfId="0" applyFont="1" applyFill="1" applyBorder="1" applyAlignment="1">
      <alignment horizontal="center" vertical="center"/>
    </xf>
    <xf numFmtId="0" fontId="36" fillId="0" borderId="1" xfId="0" applyFont="1" applyBorder="1" applyAlignment="1">
      <alignment horizontal="left" vertical="center"/>
    </xf>
    <xf numFmtId="0" fontId="36" fillId="0" borderId="1" xfId="0" applyFont="1" applyBorder="1" applyAlignment="1">
      <alignment vertical="center" wrapText="1"/>
    </xf>
    <xf numFmtId="0" fontId="12" fillId="0" borderId="1" xfId="4" applyBorder="1" applyAlignment="1">
      <alignment vertical="center"/>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3" fillId="0" borderId="1" xfId="0" applyFont="1" applyBorder="1" applyAlignment="1">
      <alignment horizontal="left" vertical="center"/>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1" xfId="0" applyFont="1" applyFill="1" applyBorder="1" applyAlignment="1">
      <alignment horizontal="right" vertical="center"/>
    </xf>
    <xf numFmtId="0" fontId="9" fillId="3" borderId="5" xfId="0" applyFont="1" applyFill="1" applyBorder="1" applyAlignment="1">
      <alignment horizontal="right" vertical="center"/>
    </xf>
    <xf numFmtId="44" fontId="9" fillId="3" borderId="1" xfId="2" applyFont="1" applyFill="1" applyBorder="1" applyAlignment="1">
      <alignment horizontal="right" vertical="center"/>
    </xf>
    <xf numFmtId="44" fontId="9" fillId="3" borderId="5" xfId="2"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1" xfId="0" applyNumberFormat="1" applyFont="1" applyFill="1" applyBorder="1" applyAlignment="1">
      <alignment horizontal="right" vertical="center"/>
    </xf>
    <xf numFmtId="14" fontId="9" fillId="3" borderId="5" xfId="0" applyNumberFormat="1" applyFont="1" applyFill="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58" xfId="0" applyFont="1" applyFill="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8"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48" fillId="6" borderId="1" xfId="0" applyFont="1" applyFill="1" applyBorder="1" applyAlignment="1">
      <alignment horizont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8" fillId="4" borderId="1" xfId="0" applyFont="1" applyFill="1" applyBorder="1" applyAlignment="1">
      <alignment horizontal="justify" vertical="center" wrapText="1"/>
    </xf>
    <xf numFmtId="10" fontId="18" fillId="0" borderId="1" xfId="5" applyNumberFormat="1" applyFont="1" applyBorder="1" applyAlignment="1" applyProtection="1">
      <alignment horizontal="justify" vertical="center" wrapText="1"/>
    </xf>
    <xf numFmtId="0" fontId="16" fillId="0" borderId="1" xfId="0" applyFont="1" applyBorder="1" applyAlignment="1">
      <alignment horizontal="justify" vertical="top" wrapText="1"/>
    </xf>
    <xf numFmtId="0" fontId="16" fillId="3" borderId="1" xfId="0" applyFont="1" applyFill="1" applyBorder="1" applyAlignment="1">
      <alignment horizontal="justify" vertical="center" wrapText="1"/>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5" fillId="0" borderId="1" xfId="0" applyFont="1" applyBorder="1" applyAlignment="1">
      <alignment horizontal="justify" vertical="center" wrapText="1"/>
    </xf>
    <xf numFmtId="0" fontId="18" fillId="0" borderId="1" xfId="0" applyFont="1" applyBorder="1" applyAlignment="1">
      <alignment horizontal="left" vertical="center" wrapText="1" indent="3"/>
    </xf>
    <xf numFmtId="0" fontId="15" fillId="3" borderId="23" xfId="0" applyFont="1" applyFill="1" applyBorder="1" applyAlignment="1">
      <alignment horizontal="center" vertical="center"/>
    </xf>
    <xf numFmtId="0" fontId="18" fillId="4" borderId="14"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10" fontId="26" fillId="0" borderId="15" xfId="5" applyNumberFormat="1" applyFont="1" applyBorder="1" applyAlignment="1" applyProtection="1">
      <alignment horizontal="center" vertical="center"/>
    </xf>
    <xf numFmtId="10" fontId="26" fillId="0" borderId="16" xfId="5" applyNumberFormat="1" applyFont="1" applyBorder="1" applyAlignment="1" applyProtection="1">
      <alignment horizontal="center" vertical="center"/>
    </xf>
    <xf numFmtId="0" fontId="16" fillId="4" borderId="1" xfId="0" applyFont="1" applyFill="1" applyBorder="1" applyAlignment="1">
      <alignment horizontal="justify" vertical="center" wrapText="1"/>
    </xf>
    <xf numFmtId="0" fontId="16" fillId="4" borderId="18" xfId="0" applyFont="1" applyFill="1" applyBorder="1" applyAlignment="1">
      <alignment horizontal="justify" vertical="center" wrapText="1"/>
    </xf>
    <xf numFmtId="0" fontId="16" fillId="4" borderId="0" xfId="0" applyFont="1" applyFill="1" applyAlignment="1">
      <alignment horizontal="justify" vertical="center" wrapText="1"/>
    </xf>
    <xf numFmtId="0" fontId="16" fillId="4" borderId="19" xfId="0" applyFont="1" applyFill="1" applyBorder="1" applyAlignment="1">
      <alignment horizontal="justify"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5" fillId="4" borderId="15" xfId="0" applyFont="1" applyFill="1" applyBorder="1" applyAlignment="1">
      <alignment horizontal="justify" vertical="top" wrapText="1"/>
    </xf>
    <xf numFmtId="0" fontId="15" fillId="4" borderId="3"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5" xfId="0" applyFont="1" applyFill="1" applyBorder="1" applyAlignment="1">
      <alignment horizontal="justify" vertical="center" wrapText="1"/>
    </xf>
    <xf numFmtId="0" fontId="16" fillId="4" borderId="3" xfId="0" applyFont="1" applyFill="1" applyBorder="1" applyAlignment="1">
      <alignment horizontal="justify" vertical="center"/>
    </xf>
    <xf numFmtId="0" fontId="16" fillId="4" borderId="16" xfId="0" applyFont="1" applyFill="1" applyBorder="1" applyAlignment="1">
      <alignment horizontal="justify" vertical="center"/>
    </xf>
    <xf numFmtId="0" fontId="16" fillId="4" borderId="0" xfId="0" applyFont="1" applyFill="1" applyAlignment="1">
      <alignment horizontal="justify" vertical="center"/>
    </xf>
    <xf numFmtId="0" fontId="16" fillId="4" borderId="19" xfId="0" applyFont="1" applyFill="1" applyBorder="1" applyAlignment="1">
      <alignment horizontal="justify" vertical="center"/>
    </xf>
    <xf numFmtId="0" fontId="16" fillId="4" borderId="21" xfId="0" applyFont="1" applyFill="1" applyBorder="1" applyAlignment="1">
      <alignment horizontal="justify" vertical="center"/>
    </xf>
    <xf numFmtId="0" fontId="16" fillId="4" borderId="22" xfId="0" applyFont="1" applyFill="1" applyBorder="1" applyAlignment="1">
      <alignment horizontal="justify" vertical="center"/>
    </xf>
    <xf numFmtId="0" fontId="15" fillId="3" borderId="17" xfId="0" applyFont="1" applyFill="1" applyBorder="1" applyAlignment="1">
      <alignment horizontal="left"/>
    </xf>
    <xf numFmtId="10" fontId="16" fillId="0" borderId="15" xfId="5" applyNumberFormat="1" applyFont="1" applyBorder="1" applyAlignment="1" applyProtection="1">
      <alignment horizontal="center"/>
    </xf>
    <xf numFmtId="10" fontId="16" fillId="0" borderId="3" xfId="5" applyNumberFormat="1" applyFont="1" applyBorder="1" applyAlignment="1" applyProtection="1">
      <alignment horizontal="center"/>
    </xf>
    <xf numFmtId="10" fontId="16" fillId="0" borderId="16" xfId="5" applyNumberFormat="1" applyFont="1" applyBorder="1" applyAlignment="1" applyProtection="1">
      <alignment horizontal="center"/>
    </xf>
    <xf numFmtId="0" fontId="18" fillId="0" borderId="1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15" fillId="3" borderId="14"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2" xfId="0" applyFont="1" applyFill="1" applyBorder="1" applyAlignment="1">
      <alignment horizontal="left" vertical="center"/>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4" borderId="14" xfId="0" applyFont="1" applyFill="1" applyBorder="1" applyAlignment="1">
      <alignment horizontal="justify" vertical="top" wrapText="1"/>
    </xf>
    <xf numFmtId="0" fontId="16" fillId="4" borderId="23"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6" fillId="4" borderId="14" xfId="0" applyFont="1" applyFill="1" applyBorder="1" applyAlignment="1" applyProtection="1">
      <alignment horizontal="justify" vertical="center" wrapText="1"/>
      <protection hidden="1"/>
    </xf>
    <xf numFmtId="0" fontId="16" fillId="4" borderId="23" xfId="0" applyFont="1" applyFill="1" applyBorder="1" applyAlignment="1" applyProtection="1">
      <alignment horizontal="justify" vertical="center" wrapText="1"/>
      <protection hidden="1"/>
    </xf>
    <xf numFmtId="0" fontId="16" fillId="4" borderId="2" xfId="0" applyFont="1" applyFill="1" applyBorder="1" applyAlignment="1" applyProtection="1">
      <alignment horizontal="justify" vertical="center" wrapText="1"/>
      <protection hidden="1"/>
    </xf>
    <xf numFmtId="0" fontId="16" fillId="4" borderId="18" xfId="0" applyFont="1" applyFill="1" applyBorder="1" applyAlignment="1" applyProtection="1">
      <alignment horizontal="justify" vertical="center" wrapText="1"/>
      <protection hidden="1"/>
    </xf>
    <xf numFmtId="0" fontId="16" fillId="4" borderId="0" xfId="0" applyFont="1" applyFill="1" applyAlignment="1" applyProtection="1">
      <alignment horizontal="justify" vertical="center" wrapText="1"/>
      <protection hidden="1"/>
    </xf>
    <xf numFmtId="0" fontId="16" fillId="4" borderId="19" xfId="0" applyFont="1" applyFill="1" applyBorder="1" applyAlignment="1" applyProtection="1">
      <alignment horizontal="justify" vertical="center" wrapText="1"/>
      <protection hidden="1"/>
    </xf>
    <xf numFmtId="0" fontId="16" fillId="0" borderId="20" xfId="0" applyFont="1" applyBorder="1" applyAlignment="1" applyProtection="1">
      <alignment horizontal="justify" vertical="center"/>
      <protection hidden="1"/>
    </xf>
    <xf numFmtId="0" fontId="16" fillId="0" borderId="21" xfId="0" applyFont="1" applyBorder="1" applyAlignment="1" applyProtection="1">
      <alignment horizontal="justify" vertical="center"/>
      <protection hidden="1"/>
    </xf>
    <xf numFmtId="0" fontId="16" fillId="0" borderId="22" xfId="0" applyFont="1" applyBorder="1" applyAlignment="1" applyProtection="1">
      <alignment horizontal="justify" vertical="center"/>
      <protection hidden="1"/>
    </xf>
    <xf numFmtId="0" fontId="15" fillId="3" borderId="1" xfId="0" applyFont="1" applyFill="1" applyBorder="1" applyAlignment="1" applyProtection="1">
      <alignment horizontal="left"/>
      <protection hidden="1"/>
    </xf>
    <xf numFmtId="0" fontId="15" fillId="3" borderId="1" xfId="0" applyFont="1" applyFill="1" applyBorder="1" applyProtection="1">
      <protection hidden="1"/>
    </xf>
    <xf numFmtId="4" fontId="15" fillId="3" borderId="14" xfId="7" applyNumberFormat="1" applyFont="1" applyFill="1" applyBorder="1" applyProtection="1">
      <protection hidden="1"/>
    </xf>
    <xf numFmtId="4" fontId="15" fillId="3" borderId="23" xfId="7" applyNumberFormat="1" applyFont="1" applyFill="1" applyBorder="1" applyProtection="1">
      <protection hidden="1"/>
    </xf>
    <xf numFmtId="0" fontId="16" fillId="0" borderId="14" xfId="0" applyFont="1" applyBorder="1" applyAlignment="1" applyProtection="1">
      <alignment horizontal="justify" vertical="center" wrapText="1"/>
      <protection hidden="1"/>
    </xf>
    <xf numFmtId="0" fontId="16" fillId="0" borderId="23" xfId="0" applyFont="1" applyBorder="1" applyAlignment="1" applyProtection="1">
      <alignment horizontal="justify" vertical="center" wrapText="1"/>
      <protection hidden="1"/>
    </xf>
    <xf numFmtId="0" fontId="16" fillId="0" borderId="2" xfId="0" applyFont="1" applyBorder="1" applyAlignment="1" applyProtection="1">
      <alignment horizontal="justify" vertical="center" wrapText="1"/>
      <protection hidden="1"/>
    </xf>
    <xf numFmtId="4" fontId="18" fillId="0" borderId="1" xfId="7" applyNumberFormat="1" applyFont="1" applyBorder="1" applyAlignment="1" applyProtection="1">
      <alignment vertical="center"/>
    </xf>
    <xf numFmtId="0" fontId="16" fillId="4" borderId="14"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4" borderId="14" xfId="0" applyFont="1" applyFill="1" applyBorder="1" applyAlignment="1">
      <alignment vertical="center"/>
    </xf>
    <xf numFmtId="0" fontId="16" fillId="4" borderId="23" xfId="0" applyFont="1" applyFill="1" applyBorder="1" applyAlignment="1">
      <alignment vertical="center"/>
    </xf>
    <xf numFmtId="0" fontId="16" fillId="4" borderId="2" xfId="0" applyFont="1" applyFill="1" applyBorder="1" applyAlignment="1">
      <alignment vertical="center"/>
    </xf>
    <xf numFmtId="0" fontId="16" fillId="4" borderId="14" xfId="0" applyFont="1" applyFill="1" applyBorder="1" applyAlignment="1">
      <alignment horizontal="justify" vertical="center"/>
    </xf>
    <xf numFmtId="0" fontId="17" fillId="4" borderId="23" xfId="0" applyFont="1" applyFill="1" applyBorder="1" applyAlignment="1">
      <alignment horizontal="justify" vertical="center"/>
    </xf>
    <xf numFmtId="0" fontId="17" fillId="4" borderId="2" xfId="0" applyFont="1" applyFill="1" applyBorder="1" applyAlignment="1">
      <alignment horizontal="justify"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3" borderId="1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 xfId="0" applyFont="1" applyFill="1" applyBorder="1" applyAlignment="1">
      <alignment horizontal="center" vertical="center"/>
    </xf>
    <xf numFmtId="4" fontId="18" fillId="0" borderId="14" xfId="7" applyNumberFormat="1" applyFont="1" applyBorder="1" applyAlignment="1" applyProtection="1">
      <alignment horizontal="left" vertical="center"/>
    </xf>
    <xf numFmtId="4" fontId="18" fillId="0" borderId="23" xfId="7" applyNumberFormat="1" applyFont="1" applyBorder="1" applyAlignment="1" applyProtection="1">
      <alignment horizontal="left" vertical="center"/>
    </xf>
    <xf numFmtId="4" fontId="18" fillId="0" borderId="2" xfId="7" applyNumberFormat="1" applyFont="1" applyBorder="1" applyAlignment="1" applyProtection="1">
      <alignment horizontal="left" vertical="center"/>
    </xf>
    <xf numFmtId="0" fontId="30" fillId="0" borderId="20" xfId="4" applyFont="1" applyBorder="1" applyAlignment="1">
      <alignment horizontal="right" vertical="center"/>
    </xf>
    <xf numFmtId="0" fontId="30" fillId="0" borderId="21" xfId="4" applyFont="1" applyBorder="1" applyAlignment="1">
      <alignment horizontal="righ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4" borderId="20" xfId="0" applyFont="1" applyFill="1" applyBorder="1" applyAlignment="1">
      <alignment horizontal="justify" vertical="center"/>
    </xf>
    <xf numFmtId="0" fontId="17" fillId="4" borderId="21" xfId="0" applyFont="1" applyFill="1" applyBorder="1" applyAlignment="1">
      <alignment horizontal="justify" vertical="center"/>
    </xf>
    <xf numFmtId="0" fontId="17" fillId="4" borderId="22" xfId="0" applyFont="1" applyFill="1" applyBorder="1" applyAlignment="1">
      <alignment horizontal="justify" vertical="center"/>
    </xf>
    <xf numFmtId="0" fontId="16" fillId="0" borderId="14" xfId="0" applyFont="1" applyBorder="1" applyAlignment="1">
      <alignment horizontal="left"/>
    </xf>
    <xf numFmtId="0" fontId="16" fillId="0" borderId="2" xfId="0" applyFont="1" applyBorder="1" applyAlignment="1">
      <alignment horizontal="left"/>
    </xf>
    <xf numFmtId="4" fontId="16" fillId="5" borderId="15" xfId="7" applyNumberFormat="1" applyFont="1" applyFill="1" applyBorder="1" applyAlignment="1" applyProtection="1">
      <alignment horizontal="center" vertical="center"/>
    </xf>
    <xf numFmtId="4" fontId="16" fillId="5" borderId="3" xfId="7" applyNumberFormat="1" applyFont="1" applyFill="1" applyBorder="1" applyAlignment="1" applyProtection="1">
      <alignment horizontal="center" vertical="center"/>
    </xf>
    <xf numFmtId="4" fontId="16" fillId="5" borderId="16" xfId="7" applyNumberFormat="1" applyFont="1" applyFill="1" applyBorder="1" applyAlignment="1" applyProtection="1">
      <alignment horizontal="center" vertical="center"/>
    </xf>
    <xf numFmtId="4" fontId="16" fillId="5" borderId="18" xfId="7" applyNumberFormat="1" applyFont="1" applyFill="1" applyBorder="1" applyAlignment="1" applyProtection="1">
      <alignment horizontal="center" vertical="center"/>
    </xf>
    <xf numFmtId="4" fontId="16" fillId="5" borderId="0" xfId="7" applyNumberFormat="1" applyFont="1" applyFill="1" applyBorder="1" applyAlignment="1" applyProtection="1">
      <alignment horizontal="center" vertical="center"/>
    </xf>
    <xf numFmtId="4" fontId="16" fillId="5" borderId="19" xfId="7" applyNumberFormat="1" applyFont="1" applyFill="1" applyBorder="1" applyAlignment="1" applyProtection="1">
      <alignment horizontal="center" vertical="center"/>
    </xf>
    <xf numFmtId="4" fontId="16" fillId="5" borderId="20" xfId="7" applyNumberFormat="1" applyFont="1" applyFill="1" applyBorder="1" applyAlignment="1" applyProtection="1">
      <alignment horizontal="center" vertical="center"/>
    </xf>
    <xf numFmtId="4" fontId="16" fillId="5" borderId="21" xfId="7" applyNumberFormat="1" applyFont="1" applyFill="1" applyBorder="1" applyAlignment="1" applyProtection="1">
      <alignment horizontal="center" vertical="center"/>
    </xf>
    <xf numFmtId="4" fontId="16" fillId="5" borderId="22" xfId="7" applyNumberFormat="1" applyFont="1" applyFill="1" applyBorder="1" applyAlignment="1" applyProtection="1">
      <alignment horizontal="center" vertical="center"/>
    </xf>
    <xf numFmtId="0" fontId="16" fillId="4" borderId="14" xfId="0" applyFont="1" applyFill="1" applyBorder="1"/>
    <xf numFmtId="0" fontId="16" fillId="4" borderId="23" xfId="0" applyFont="1" applyFill="1" applyBorder="1"/>
    <xf numFmtId="0" fontId="16" fillId="4" borderId="2" xfId="0" applyFont="1" applyFill="1" applyBorder="1"/>
    <xf numFmtId="0" fontId="16" fillId="0" borderId="1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30" fillId="0" borderId="18" xfId="4" applyFont="1" applyBorder="1" applyAlignment="1">
      <alignment horizontal="right" vertical="center"/>
    </xf>
    <xf numFmtId="0" fontId="30" fillId="0" borderId="0" xfId="4" applyFont="1" applyBorder="1" applyAlignment="1">
      <alignment horizontal="right" vertical="center"/>
    </xf>
    <xf numFmtId="0" fontId="18" fillId="0" borderId="0" xfId="0" applyFont="1" applyAlignment="1">
      <alignment horizontal="left" vertical="center" wrapText="1"/>
    </xf>
    <xf numFmtId="0" fontId="18" fillId="0" borderId="19"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 xfId="0" applyFont="1" applyBorder="1" applyAlignment="1">
      <alignment horizontal="justify" vertical="center" wrapText="1"/>
    </xf>
    <xf numFmtId="4" fontId="16" fillId="4" borderId="1" xfId="7" applyNumberFormat="1" applyFont="1" applyFill="1" applyBorder="1" applyAlignment="1" applyProtection="1">
      <alignment horizontal="left"/>
    </xf>
    <xf numFmtId="4" fontId="16" fillId="4" borderId="18" xfId="7" applyNumberFormat="1" applyFont="1" applyFill="1" applyBorder="1" applyAlignment="1" applyProtection="1">
      <alignment horizontal="left"/>
    </xf>
    <xf numFmtId="4" fontId="16" fillId="4" borderId="0" xfId="7" applyNumberFormat="1" applyFont="1" applyFill="1" applyBorder="1" applyAlignment="1" applyProtection="1">
      <alignment horizontal="left"/>
    </xf>
    <xf numFmtId="4" fontId="16" fillId="4" borderId="19" xfId="7" applyNumberFormat="1" applyFont="1" applyFill="1" applyBorder="1" applyAlignment="1" applyProtection="1">
      <alignment horizontal="left"/>
    </xf>
    <xf numFmtId="0" fontId="34" fillId="0" borderId="0" xfId="0" applyFont="1" applyAlignment="1">
      <alignment horizontal="left" vertical="center" wrapText="1"/>
    </xf>
    <xf numFmtId="0" fontId="48" fillId="6" borderId="1" xfId="0" applyFont="1" applyFill="1" applyBorder="1" applyAlignment="1" applyProtection="1">
      <alignment horizontal="center" vertical="center" wrapText="1"/>
      <protection hidden="1"/>
    </xf>
    <xf numFmtId="0" fontId="34" fillId="0" borderId="0" xfId="0" applyFont="1" applyAlignment="1">
      <alignment horizontal="left"/>
    </xf>
    <xf numFmtId="0" fontId="37" fillId="2" borderId="50"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4"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5" fillId="6" borderId="47" xfId="0" applyFont="1" applyFill="1" applyBorder="1" applyAlignment="1">
      <alignment horizontal="center" vertical="center"/>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43" fillId="6" borderId="47"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49"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167" fontId="36" fillId="0" borderId="26" xfId="0" applyNumberFormat="1" applyFont="1" applyBorder="1" applyAlignment="1">
      <alignment horizontal="center" vertical="center"/>
    </xf>
    <xf numFmtId="167" fontId="36" fillId="0" borderId="27" xfId="0" applyNumberFormat="1" applyFont="1" applyBorder="1" applyAlignment="1">
      <alignment horizontal="center" vertical="center"/>
    </xf>
    <xf numFmtId="167" fontId="36" fillId="0" borderId="28" xfId="0" applyNumberFormat="1"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center" vertical="center"/>
    </xf>
    <xf numFmtId="0" fontId="37" fillId="0" borderId="50" xfId="0" applyFont="1" applyBorder="1" applyAlignment="1">
      <alignment horizontal="center" vertical="center" wrapText="1"/>
    </xf>
    <xf numFmtId="0" fontId="37" fillId="0" borderId="33" xfId="0" applyFont="1" applyBorder="1" applyAlignment="1">
      <alignment horizontal="center" vertical="center" wrapText="1"/>
    </xf>
    <xf numFmtId="0" fontId="41" fillId="0" borderId="43" xfId="0" applyFont="1" applyBorder="1" applyAlignment="1">
      <alignment horizontal="center" vertical="center" wrapText="1"/>
    </xf>
    <xf numFmtId="0" fontId="38" fillId="0" borderId="43" xfId="0" applyFont="1" applyBorder="1" applyAlignment="1">
      <alignment horizontal="center" vertical="center" wrapText="1"/>
    </xf>
    <xf numFmtId="0" fontId="42" fillId="0" borderId="5" xfId="0" applyFont="1" applyBorder="1" applyAlignment="1">
      <alignment horizontal="center"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37" fillId="2" borderId="1" xfId="0" applyFont="1" applyFill="1" applyBorder="1" applyAlignment="1">
      <alignment horizontal="left"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5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56" xfId="0" applyFont="1" applyFill="1" applyBorder="1" applyAlignment="1">
      <alignment horizontal="center" vertical="center" wrapText="1"/>
    </xf>
    <xf numFmtId="167" fontId="36" fillId="0" borderId="63" xfId="0" applyNumberFormat="1" applyFont="1" applyBorder="1" applyAlignment="1">
      <alignment horizontal="center" vertical="center"/>
    </xf>
    <xf numFmtId="167" fontId="36" fillId="0" borderId="66" xfId="0" applyNumberFormat="1" applyFont="1" applyBorder="1" applyAlignment="1">
      <alignment horizontal="center" vertical="center"/>
    </xf>
    <xf numFmtId="167" fontId="36" fillId="0" borderId="67" xfId="0" applyNumberFormat="1" applyFont="1" applyBorder="1" applyAlignment="1">
      <alignment horizontal="center" vertical="center"/>
    </xf>
    <xf numFmtId="0" fontId="36" fillId="0" borderId="4" xfId="0" applyFont="1" applyBorder="1" applyAlignment="1">
      <alignment horizontal="center" vertical="center"/>
    </xf>
    <xf numFmtId="0" fontId="36" fillId="0" borderId="17" xfId="0" applyFont="1" applyBorder="1" applyAlignment="1">
      <alignment horizontal="center" vertical="center"/>
    </xf>
    <xf numFmtId="0" fontId="36" fillId="0" borderId="65" xfId="0" applyFont="1" applyBorder="1" applyAlignment="1">
      <alignment horizontal="center" vertical="center"/>
    </xf>
    <xf numFmtId="0" fontId="36" fillId="0" borderId="24" xfId="0" applyFont="1" applyBorder="1" applyAlignment="1">
      <alignment horizontal="center" vertical="center"/>
    </xf>
    <xf numFmtId="0" fontId="45" fillId="4" borderId="62" xfId="0" applyFont="1" applyFill="1" applyBorder="1" applyAlignment="1">
      <alignment horizontal="center" vertical="center"/>
    </xf>
    <xf numFmtId="0" fontId="45" fillId="4" borderId="64" xfId="0" applyFont="1" applyFill="1" applyBorder="1" applyAlignment="1">
      <alignment horizontal="center" vertical="center"/>
    </xf>
    <xf numFmtId="0" fontId="45" fillId="4" borderId="46" xfId="0" applyFont="1" applyFill="1" applyBorder="1" applyAlignment="1">
      <alignment horizontal="center" vertical="center"/>
    </xf>
    <xf numFmtId="0" fontId="45" fillId="4" borderId="17" xfId="0" applyFont="1" applyFill="1" applyBorder="1" applyAlignment="1">
      <alignment horizontal="center" vertical="center"/>
    </xf>
    <xf numFmtId="0" fontId="45" fillId="4" borderId="65" xfId="0" applyFont="1" applyFill="1" applyBorder="1" applyAlignment="1">
      <alignment horizontal="center" vertical="center"/>
    </xf>
    <xf numFmtId="0" fontId="45" fillId="4" borderId="24" xfId="0" applyFont="1" applyFill="1" applyBorder="1" applyAlignment="1">
      <alignment horizontal="center" vertical="center"/>
    </xf>
    <xf numFmtId="0" fontId="47" fillId="2" borderId="4" xfId="0" applyFont="1" applyFill="1" applyBorder="1" applyAlignment="1">
      <alignment horizontal="right" vertical="center"/>
    </xf>
    <xf numFmtId="0" fontId="47" fillId="2" borderId="1" xfId="0" applyFont="1" applyFill="1" applyBorder="1" applyAlignment="1">
      <alignment horizontal="right" vertical="center"/>
    </xf>
    <xf numFmtId="0" fontId="36" fillId="0" borderId="62" xfId="0" applyFont="1" applyBorder="1" applyAlignment="1">
      <alignment horizontal="center" vertical="center"/>
    </xf>
    <xf numFmtId="0" fontId="36" fillId="0" borderId="64" xfId="0" applyFont="1" applyBorder="1" applyAlignment="1">
      <alignment horizontal="center" vertical="center"/>
    </xf>
    <xf numFmtId="0" fontId="36" fillId="0" borderId="46" xfId="0" applyFont="1" applyBorder="1" applyAlignment="1">
      <alignment horizontal="center" vertical="center"/>
    </xf>
    <xf numFmtId="0" fontId="47" fillId="2" borderId="10" xfId="0" applyFont="1" applyFill="1" applyBorder="1" applyAlignment="1">
      <alignment horizontal="right" vertical="center"/>
    </xf>
    <xf numFmtId="0" fontId="47" fillId="2" borderId="23" xfId="0" applyFont="1" applyFill="1" applyBorder="1" applyAlignment="1">
      <alignment horizontal="right" vertical="center"/>
    </xf>
    <xf numFmtId="0" fontId="47" fillId="2" borderId="2" xfId="0" applyFont="1" applyFill="1" applyBorder="1" applyAlignment="1">
      <alignment horizontal="right" vertical="center"/>
    </xf>
    <xf numFmtId="0" fontId="43" fillId="6" borderId="1" xfId="0" applyFont="1" applyFill="1" applyBorder="1" applyAlignment="1">
      <alignment horizontal="center" vertical="center"/>
    </xf>
    <xf numFmtId="0" fontId="43" fillId="4" borderId="1" xfId="0" applyFont="1" applyFill="1" applyBorder="1" applyAlignment="1">
      <alignment horizontal="center" vertical="center"/>
    </xf>
  </cellXfs>
  <cellStyles count="8">
    <cellStyle name="Hiperlink" xfId="4" builtinId="8"/>
    <cellStyle name="Moeda" xfId="2" builtinId="4"/>
    <cellStyle name="Moeda 4" xfId="7" xr:uid="{00000000-0005-0000-0000-000002000000}"/>
    <cellStyle name="Normal" xfId="0" builtinId="0"/>
    <cellStyle name="Normal 2 2" xfId="6" xr:uid="{00000000-0005-0000-0000-000004000000}"/>
    <cellStyle name="Porcentagem" xfId="3" builtinId="5"/>
    <cellStyle name="Porcentagem 4" xfId="5" xr:uid="{00000000-0005-0000-0000-000006000000}"/>
    <cellStyle name="Vírgula" xfId="1" builtinId="3"/>
  </cellStyles>
  <dxfs count="0"/>
  <tableStyles count="0" defaultTableStyle="TableStyleMedium2" defaultPivotStyle="PivotStyleLight16"/>
  <colors>
    <mruColors>
      <color rgb="FFE7F7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11</xdr:row>
      <xdr:rowOff>57150</xdr:rowOff>
    </xdr:from>
    <xdr:to>
      <xdr:col>4</xdr:col>
      <xdr:colOff>66820</xdr:colOff>
      <xdr:row>16</xdr:row>
      <xdr:rowOff>114441</xdr:rowOff>
    </xdr:to>
    <xdr:pic>
      <xdr:nvPicPr>
        <xdr:cNvPr id="2" name="Imagem 1">
          <a:extLst>
            <a:ext uri="{FF2B5EF4-FFF2-40B4-BE49-F238E27FC236}">
              <a16:creationId xmlns:a16="http://schemas.microsoft.com/office/drawing/2014/main" id="{A31A6418-1378-4E83-96A8-C402C7A607DB}"/>
            </a:ext>
          </a:extLst>
        </xdr:cNvPr>
        <xdr:cNvPicPr>
          <a:picLocks noChangeAspect="1"/>
        </xdr:cNvPicPr>
      </xdr:nvPicPr>
      <xdr:blipFill>
        <a:blip xmlns:r="http://schemas.openxmlformats.org/officeDocument/2006/relationships" r:embed="rId1"/>
        <a:stretch>
          <a:fillRect/>
        </a:stretch>
      </xdr:blipFill>
      <xdr:spPr>
        <a:xfrm>
          <a:off x="5219700" y="3076575"/>
          <a:ext cx="1038370" cy="1009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24</xdr:row>
      <xdr:rowOff>47625</xdr:rowOff>
    </xdr:from>
    <xdr:to>
      <xdr:col>4</xdr:col>
      <xdr:colOff>381145</xdr:colOff>
      <xdr:row>29</xdr:row>
      <xdr:rowOff>57291</xdr:rowOff>
    </xdr:to>
    <xdr:pic>
      <xdr:nvPicPr>
        <xdr:cNvPr id="2" name="Imagem 1">
          <a:extLst>
            <a:ext uri="{FF2B5EF4-FFF2-40B4-BE49-F238E27FC236}">
              <a16:creationId xmlns:a16="http://schemas.microsoft.com/office/drawing/2014/main" id="{1C407AAC-EEC8-443F-9E38-774D1F741ECB}"/>
            </a:ext>
          </a:extLst>
        </xdr:cNvPr>
        <xdr:cNvPicPr>
          <a:picLocks noChangeAspect="1"/>
        </xdr:cNvPicPr>
      </xdr:nvPicPr>
      <xdr:blipFill>
        <a:blip xmlns:r="http://schemas.openxmlformats.org/officeDocument/2006/relationships" r:embed="rId1"/>
        <a:stretch>
          <a:fillRect/>
        </a:stretch>
      </xdr:blipFill>
      <xdr:spPr>
        <a:xfrm>
          <a:off x="2819400" y="5019675"/>
          <a:ext cx="1038370" cy="10097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verificador.bdsgp.com.br/?q=ZOAsPAZe7PoRkvkY"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verificador.bdsgp.com.br/?q=ZOAsPAZe7PoRkv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M147"/>
  <sheetViews>
    <sheetView showGridLines="0" view="pageBreakPreview" topLeftCell="A113" zoomScale="60" zoomScaleNormal="100" workbookViewId="0">
      <selection activeCell="G11" sqref="G11"/>
    </sheetView>
  </sheetViews>
  <sheetFormatPr defaultColWidth="8.7109375" defaultRowHeight="12.75"/>
  <cols>
    <col min="1" max="1" width="8.7109375" style="1"/>
    <col min="2" max="2" width="5" style="1" bestFit="1" customWidth="1"/>
    <col min="3" max="3" width="86.28515625" style="1" customWidth="1"/>
    <col min="4" max="4" width="14.140625" style="1" bestFit="1" customWidth="1"/>
    <col min="5" max="5" width="17.140625" style="1" bestFit="1" customWidth="1"/>
    <col min="6" max="6" width="0" style="1" hidden="1" customWidth="1"/>
    <col min="7" max="7" width="8.7109375" style="1"/>
    <col min="8" max="9" width="9.28515625" style="1" bestFit="1" customWidth="1"/>
    <col min="10" max="10" width="13.28515625" style="1" bestFit="1" customWidth="1"/>
    <col min="11" max="11" width="12.5703125" style="10" bestFit="1" customWidth="1"/>
    <col min="12" max="13" width="13.7109375" style="10" bestFit="1" customWidth="1"/>
    <col min="14" max="16384" width="8.7109375" style="1"/>
  </cols>
  <sheetData>
    <row r="1" spans="2:6" ht="13.5" thickBot="1"/>
    <row r="2" spans="2:6" ht="13.5" thickBot="1">
      <c r="B2" s="271" t="s">
        <v>401</v>
      </c>
      <c r="C2" s="272"/>
      <c r="D2" s="272"/>
      <c r="E2" s="273"/>
    </row>
    <row r="3" spans="2:6" ht="18" customHeight="1">
      <c r="B3" s="274" t="s">
        <v>0</v>
      </c>
      <c r="C3" s="275"/>
      <c r="D3" s="275"/>
      <c r="E3" s="276"/>
    </row>
    <row r="4" spans="2:6">
      <c r="B4" s="20">
        <v>1</v>
      </c>
      <c r="C4" s="2" t="s">
        <v>357</v>
      </c>
      <c r="D4" s="277" t="s">
        <v>366</v>
      </c>
      <c r="E4" s="278"/>
    </row>
    <row r="5" spans="2:6" ht="18" customHeight="1">
      <c r="B5" s="20">
        <v>2</v>
      </c>
      <c r="C5" s="2" t="s">
        <v>1</v>
      </c>
      <c r="D5" s="279" t="s">
        <v>367</v>
      </c>
      <c r="E5" s="280"/>
    </row>
    <row r="6" spans="2:6" ht="18" customHeight="1">
      <c r="B6" s="20">
        <v>3</v>
      </c>
      <c r="C6" s="2" t="s">
        <v>2</v>
      </c>
      <c r="D6" s="281">
        <v>1651</v>
      </c>
      <c r="E6" s="282"/>
      <c r="F6" s="12"/>
    </row>
    <row r="7" spans="2:6">
      <c r="B7" s="20">
        <v>4</v>
      </c>
      <c r="C7" s="2" t="s">
        <v>3</v>
      </c>
      <c r="D7" s="283">
        <v>0</v>
      </c>
      <c r="E7" s="284"/>
    </row>
    <row r="8" spans="2:6" ht="18" customHeight="1">
      <c r="B8" s="20">
        <v>5</v>
      </c>
      <c r="C8" s="2" t="s">
        <v>4</v>
      </c>
      <c r="D8" s="285">
        <v>46027</v>
      </c>
      <c r="E8" s="286"/>
    </row>
    <row r="9" spans="2:6" ht="18" customHeight="1">
      <c r="B9" s="20">
        <v>6</v>
      </c>
      <c r="C9" s="2" t="s">
        <v>5</v>
      </c>
      <c r="D9" s="285" t="s">
        <v>365</v>
      </c>
      <c r="E9" s="286"/>
    </row>
    <row r="10" spans="2:6" ht="13.5" thickBot="1">
      <c r="B10" s="21"/>
      <c r="E10" s="22"/>
    </row>
    <row r="11" spans="2:6" ht="18" customHeight="1" thickBot="1">
      <c r="B11" s="271" t="s">
        <v>6</v>
      </c>
      <c r="C11" s="272"/>
      <c r="D11" s="272"/>
      <c r="E11" s="273"/>
    </row>
    <row r="12" spans="2:6" ht="18" customHeight="1">
      <c r="B12" s="235">
        <v>1</v>
      </c>
      <c r="C12" s="275" t="s">
        <v>7</v>
      </c>
      <c r="D12" s="275"/>
      <c r="E12" s="236" t="s">
        <v>8</v>
      </c>
    </row>
    <row r="13" spans="2:6" ht="18" customHeight="1">
      <c r="B13" s="24" t="s">
        <v>9</v>
      </c>
      <c r="C13" s="270" t="s">
        <v>10</v>
      </c>
      <c r="D13" s="270"/>
      <c r="E13" s="25">
        <v>1651</v>
      </c>
      <c r="F13" s="12"/>
    </row>
    <row r="14" spans="2:6" ht="18" customHeight="1">
      <c r="B14" s="24" t="s">
        <v>11</v>
      </c>
      <c r="C14" s="270" t="s">
        <v>12</v>
      </c>
      <c r="D14" s="270"/>
      <c r="E14" s="25">
        <v>0</v>
      </c>
    </row>
    <row r="15" spans="2:6" ht="18" customHeight="1">
      <c r="B15" s="24" t="s">
        <v>13</v>
      </c>
      <c r="C15" s="270" t="s">
        <v>14</v>
      </c>
      <c r="D15" s="270"/>
      <c r="E15" s="25">
        <v>0</v>
      </c>
    </row>
    <row r="16" spans="2:6" ht="18" customHeight="1">
      <c r="B16" s="24" t="s">
        <v>15</v>
      </c>
      <c r="C16" s="270" t="s">
        <v>16</v>
      </c>
      <c r="D16" s="270"/>
      <c r="E16" s="25">
        <v>0</v>
      </c>
    </row>
    <row r="17" spans="2:5" ht="18" customHeight="1">
      <c r="B17" s="24" t="s">
        <v>17</v>
      </c>
      <c r="C17" s="270" t="s">
        <v>18</v>
      </c>
      <c r="D17" s="270"/>
      <c r="E17" s="25">
        <v>0</v>
      </c>
    </row>
    <row r="18" spans="2:5" ht="18" customHeight="1">
      <c r="B18" s="24" t="s">
        <v>19</v>
      </c>
      <c r="C18" s="270" t="s">
        <v>20</v>
      </c>
      <c r="D18" s="270"/>
      <c r="E18" s="25">
        <v>0</v>
      </c>
    </row>
    <row r="19" spans="2:5" ht="18" customHeight="1">
      <c r="B19" s="290" t="s">
        <v>21</v>
      </c>
      <c r="C19" s="291"/>
      <c r="D19" s="291"/>
      <c r="E19" s="26">
        <f>SUM(E13:E18)</f>
        <v>1651</v>
      </c>
    </row>
    <row r="20" spans="2:5" ht="27.75" customHeight="1">
      <c r="B20" s="292" t="s">
        <v>22</v>
      </c>
      <c r="C20" s="293"/>
      <c r="D20" s="293"/>
      <c r="E20" s="294"/>
    </row>
    <row r="21" spans="2:5" ht="13.5" thickBot="1">
      <c r="B21" s="21"/>
      <c r="E21" s="22"/>
    </row>
    <row r="22" spans="2:5" ht="18" customHeight="1" thickBot="1">
      <c r="B22" s="271" t="s">
        <v>23</v>
      </c>
      <c r="C22" s="272"/>
      <c r="D22" s="272"/>
      <c r="E22" s="273"/>
    </row>
    <row r="23" spans="2:5" ht="18" customHeight="1">
      <c r="B23" s="295" t="s">
        <v>24</v>
      </c>
      <c r="C23" s="296"/>
      <c r="D23" s="296"/>
      <c r="E23" s="297"/>
    </row>
    <row r="24" spans="2:5" ht="18" customHeight="1">
      <c r="B24" s="38" t="s">
        <v>25</v>
      </c>
      <c r="C24" s="39" t="s">
        <v>26</v>
      </c>
      <c r="D24" s="16" t="s">
        <v>27</v>
      </c>
      <c r="E24" s="40" t="s">
        <v>8</v>
      </c>
    </row>
    <row r="25" spans="2:5" ht="18" customHeight="1">
      <c r="B25" s="24" t="s">
        <v>9</v>
      </c>
      <c r="C25" s="3" t="s">
        <v>28</v>
      </c>
      <c r="D25" s="4">
        <f>(1/12)</f>
        <v>8.3333333333333329E-2</v>
      </c>
      <c r="E25" s="25">
        <f>D25*$E$19</f>
        <v>137.58333333333331</v>
      </c>
    </row>
    <row r="26" spans="2:5" ht="18" customHeight="1">
      <c r="B26" s="24" t="s">
        <v>11</v>
      </c>
      <c r="C26" s="3" t="s">
        <v>29</v>
      </c>
      <c r="D26" s="241">
        <f>(1/12)+((1/3)*(1/12))</f>
        <v>0.1111111111111111</v>
      </c>
      <c r="E26" s="25">
        <f>D26*$E$19</f>
        <v>183.44444444444443</v>
      </c>
    </row>
    <row r="27" spans="2:5" ht="18" customHeight="1">
      <c r="B27" s="290" t="s">
        <v>21</v>
      </c>
      <c r="C27" s="291"/>
      <c r="D27" s="5">
        <f t="shared" ref="D27:E27" si="0">SUM(D25:D26)</f>
        <v>0.19444444444444442</v>
      </c>
      <c r="E27" s="27">
        <f t="shared" si="0"/>
        <v>321.02777777777771</v>
      </c>
    </row>
    <row r="28" spans="2:5" ht="46.5" customHeight="1">
      <c r="B28" s="298" t="s">
        <v>361</v>
      </c>
      <c r="C28" s="299"/>
      <c r="D28" s="299"/>
      <c r="E28" s="300"/>
    </row>
    <row r="29" spans="2:5" ht="33" customHeight="1">
      <c r="B29" s="298" t="s">
        <v>101</v>
      </c>
      <c r="C29" s="299"/>
      <c r="D29" s="299"/>
      <c r="E29" s="300"/>
    </row>
    <row r="30" spans="2:5" ht="55.5" customHeight="1">
      <c r="B30" s="287" t="s">
        <v>364</v>
      </c>
      <c r="C30" s="288"/>
      <c r="D30" s="288"/>
      <c r="E30" s="289"/>
    </row>
    <row r="31" spans="2:5">
      <c r="B31" s="21"/>
      <c r="E31" s="22"/>
    </row>
    <row r="32" spans="2:5" ht="27.75" customHeight="1">
      <c r="B32" s="301" t="s">
        <v>30</v>
      </c>
      <c r="C32" s="302"/>
      <c r="D32" s="302"/>
      <c r="E32" s="303"/>
    </row>
    <row r="33" spans="2:5" ht="18" customHeight="1">
      <c r="B33" s="19" t="s">
        <v>31</v>
      </c>
      <c r="C33" s="16" t="s">
        <v>32</v>
      </c>
      <c r="D33" s="16" t="s">
        <v>27</v>
      </c>
      <c r="E33" s="23" t="s">
        <v>8</v>
      </c>
    </row>
    <row r="34" spans="2:5" ht="18" customHeight="1">
      <c r="B34" s="24" t="s">
        <v>9</v>
      </c>
      <c r="C34" s="3" t="s">
        <v>33</v>
      </c>
      <c r="D34" s="6">
        <v>0.2</v>
      </c>
      <c r="E34" s="25">
        <f>D34*($E$19+$E$27)</f>
        <v>394.40555555555557</v>
      </c>
    </row>
    <row r="35" spans="2:5" ht="18" customHeight="1">
      <c r="B35" s="24" t="s">
        <v>11</v>
      </c>
      <c r="C35" s="3" t="s">
        <v>34</v>
      </c>
      <c r="D35" s="6">
        <v>2.5000000000000001E-2</v>
      </c>
      <c r="E35" s="25">
        <f t="shared" ref="E35:E41" si="1">D35*($E$19+$E$27)</f>
        <v>49.300694444444446</v>
      </c>
    </row>
    <row r="36" spans="2:5" ht="18" customHeight="1">
      <c r="B36" s="24" t="s">
        <v>13</v>
      </c>
      <c r="C36" s="3" t="s">
        <v>35</v>
      </c>
      <c r="D36" s="6">
        <v>0.03</v>
      </c>
      <c r="E36" s="25">
        <f t="shared" si="1"/>
        <v>59.160833333333329</v>
      </c>
    </row>
    <row r="37" spans="2:5" ht="18" customHeight="1">
      <c r="B37" s="24" t="s">
        <v>15</v>
      </c>
      <c r="C37" s="3" t="s">
        <v>36</v>
      </c>
      <c r="D37" s="6">
        <v>1.4999999999999999E-2</v>
      </c>
      <c r="E37" s="25">
        <f t="shared" si="1"/>
        <v>29.580416666666665</v>
      </c>
    </row>
    <row r="38" spans="2:5" ht="18" customHeight="1">
      <c r="B38" s="24" t="s">
        <v>17</v>
      </c>
      <c r="C38" s="3" t="s">
        <v>37</v>
      </c>
      <c r="D38" s="6">
        <v>0.01</v>
      </c>
      <c r="E38" s="25">
        <f t="shared" si="1"/>
        <v>19.720277777777778</v>
      </c>
    </row>
    <row r="39" spans="2:5" ht="18" customHeight="1">
      <c r="B39" s="24" t="s">
        <v>19</v>
      </c>
      <c r="C39" s="3" t="s">
        <v>38</v>
      </c>
      <c r="D39" s="6">
        <v>6.0000000000000001E-3</v>
      </c>
      <c r="E39" s="25">
        <f t="shared" si="1"/>
        <v>11.832166666666668</v>
      </c>
    </row>
    <row r="40" spans="2:5" ht="18" customHeight="1">
      <c r="B40" s="24" t="s">
        <v>39</v>
      </c>
      <c r="C40" s="3" t="s">
        <v>40</v>
      </c>
      <c r="D40" s="6">
        <v>2E-3</v>
      </c>
      <c r="E40" s="25">
        <f t="shared" si="1"/>
        <v>3.9440555555555559</v>
      </c>
    </row>
    <row r="41" spans="2:5" ht="18" customHeight="1">
      <c r="B41" s="24" t="s">
        <v>41</v>
      </c>
      <c r="C41" s="3" t="s">
        <v>42</v>
      </c>
      <c r="D41" s="6">
        <v>0.08</v>
      </c>
      <c r="E41" s="25">
        <f t="shared" si="1"/>
        <v>157.76222222222222</v>
      </c>
    </row>
    <row r="42" spans="2:5" ht="18" customHeight="1">
      <c r="B42" s="290" t="s">
        <v>21</v>
      </c>
      <c r="C42" s="291"/>
      <c r="D42" s="17">
        <f>SUM(D34:D41)</f>
        <v>0.36800000000000005</v>
      </c>
      <c r="E42" s="27">
        <f>SUM(E34:E41)</f>
        <v>725.70622222222232</v>
      </c>
    </row>
    <row r="43" spans="2:5" ht="43.5" customHeight="1">
      <c r="B43" s="298" t="s">
        <v>102</v>
      </c>
      <c r="C43" s="299"/>
      <c r="D43" s="299"/>
      <c r="E43" s="300"/>
    </row>
    <row r="44" spans="2:5" ht="42.75" customHeight="1">
      <c r="B44" s="298" t="s">
        <v>43</v>
      </c>
      <c r="C44" s="299"/>
      <c r="D44" s="299"/>
      <c r="E44" s="300"/>
    </row>
    <row r="45" spans="2:5" ht="36" customHeight="1">
      <c r="B45" s="298" t="s">
        <v>44</v>
      </c>
      <c r="C45" s="299"/>
      <c r="D45" s="299"/>
      <c r="E45" s="300"/>
    </row>
    <row r="46" spans="2:5" ht="29.25" customHeight="1">
      <c r="B46" s="298" t="s">
        <v>362</v>
      </c>
      <c r="C46" s="299"/>
      <c r="D46" s="299"/>
      <c r="E46" s="300"/>
    </row>
    <row r="47" spans="2:5">
      <c r="B47" s="21"/>
      <c r="E47" s="22"/>
    </row>
    <row r="48" spans="2:5" ht="18" customHeight="1">
      <c r="B48" s="301" t="s">
        <v>45</v>
      </c>
      <c r="C48" s="302"/>
      <c r="D48" s="302"/>
      <c r="E48" s="303"/>
    </row>
    <row r="49" spans="2:6" ht="18" customHeight="1">
      <c r="B49" s="19" t="s">
        <v>46</v>
      </c>
      <c r="C49" s="16" t="s">
        <v>47</v>
      </c>
      <c r="D49" s="16" t="s">
        <v>48</v>
      </c>
      <c r="E49" s="23" t="s">
        <v>8</v>
      </c>
      <c r="F49" s="1" t="s">
        <v>307</v>
      </c>
    </row>
    <row r="50" spans="2:6" ht="18" customHeight="1">
      <c r="B50" s="24" t="s">
        <v>9</v>
      </c>
      <c r="C50" s="2" t="s">
        <v>355</v>
      </c>
      <c r="D50" s="7" t="s">
        <v>112</v>
      </c>
      <c r="E50" s="25">
        <v>0</v>
      </c>
      <c r="F50" s="210" t="e">
        <f>ROUND(((3.8+5.5)*2*D50)-(0.06*$E$13),2)</f>
        <v>#VALUE!</v>
      </c>
    </row>
    <row r="51" spans="2:6" ht="18" customHeight="1">
      <c r="B51" s="24" t="s">
        <v>11</v>
      </c>
      <c r="C51" s="3" t="s">
        <v>356</v>
      </c>
      <c r="D51" s="7" t="s">
        <v>112</v>
      </c>
      <c r="E51" s="25">
        <f>'DETALHAMENTO ALIMENTAÇÃO'!G10</f>
        <v>0</v>
      </c>
      <c r="F51" s="210" t="e">
        <f>ROUND((42.2)*D51,2)</f>
        <v>#VALUE!</v>
      </c>
    </row>
    <row r="52" spans="2:6" ht="18" customHeight="1">
      <c r="B52" s="24" t="s">
        <v>13</v>
      </c>
      <c r="C52" s="3" t="s">
        <v>49</v>
      </c>
      <c r="D52" s="7" t="s">
        <v>112</v>
      </c>
      <c r="E52" s="25">
        <f>'DETALHAMENTO ASS. MÉDICA'!E10</f>
        <v>0</v>
      </c>
    </row>
    <row r="53" spans="2:6" ht="18" customHeight="1">
      <c r="B53" s="24" t="s">
        <v>15</v>
      </c>
      <c r="C53" s="3" t="s">
        <v>50</v>
      </c>
      <c r="D53" s="7" t="s">
        <v>112</v>
      </c>
      <c r="E53" s="25">
        <v>0</v>
      </c>
    </row>
    <row r="54" spans="2:6" ht="18" customHeight="1">
      <c r="B54" s="24" t="s">
        <v>17</v>
      </c>
      <c r="C54" s="3" t="s">
        <v>51</v>
      </c>
      <c r="D54" s="7" t="s">
        <v>112</v>
      </c>
      <c r="E54" s="25">
        <v>0</v>
      </c>
    </row>
    <row r="55" spans="2:6" ht="18" customHeight="1">
      <c r="B55" s="290" t="s">
        <v>21</v>
      </c>
      <c r="C55" s="291"/>
      <c r="D55" s="291"/>
      <c r="E55" s="27">
        <f>SUM(E50:E54)</f>
        <v>0</v>
      </c>
    </row>
    <row r="56" spans="2:6" ht="25.5" customHeight="1">
      <c r="B56" s="298" t="s">
        <v>52</v>
      </c>
      <c r="C56" s="299"/>
      <c r="D56" s="299"/>
      <c r="E56" s="300"/>
    </row>
    <row r="57" spans="2:6" ht="25.5" customHeight="1">
      <c r="B57" s="298" t="s">
        <v>53</v>
      </c>
      <c r="C57" s="299"/>
      <c r="D57" s="299"/>
      <c r="E57" s="300"/>
    </row>
    <row r="58" spans="2:6">
      <c r="B58" s="21"/>
      <c r="E58" s="22"/>
    </row>
    <row r="59" spans="2:6" ht="18" customHeight="1">
      <c r="B59" s="301" t="s">
        <v>54</v>
      </c>
      <c r="C59" s="302"/>
      <c r="D59" s="302"/>
      <c r="E59" s="303"/>
    </row>
    <row r="60" spans="2:6" ht="18" customHeight="1">
      <c r="B60" s="19">
        <v>2</v>
      </c>
      <c r="C60" s="291" t="s">
        <v>55</v>
      </c>
      <c r="D60" s="291"/>
      <c r="E60" s="23" t="s">
        <v>8</v>
      </c>
    </row>
    <row r="61" spans="2:6" ht="18" customHeight="1">
      <c r="B61" s="24" t="s">
        <v>25</v>
      </c>
      <c r="C61" s="304" t="s">
        <v>26</v>
      </c>
      <c r="D61" s="304"/>
      <c r="E61" s="25">
        <f>E27</f>
        <v>321.02777777777771</v>
      </c>
    </row>
    <row r="62" spans="2:6" ht="18" customHeight="1">
      <c r="B62" s="24" t="s">
        <v>31</v>
      </c>
      <c r="C62" s="270" t="s">
        <v>32</v>
      </c>
      <c r="D62" s="270"/>
      <c r="E62" s="25">
        <f>E42</f>
        <v>725.70622222222232</v>
      </c>
    </row>
    <row r="63" spans="2:6" ht="18" customHeight="1">
      <c r="B63" s="24" t="s">
        <v>46</v>
      </c>
      <c r="C63" s="270" t="s">
        <v>47</v>
      </c>
      <c r="D63" s="270"/>
      <c r="E63" s="25">
        <f>E55</f>
        <v>0</v>
      </c>
    </row>
    <row r="64" spans="2:6" ht="18" customHeight="1">
      <c r="B64" s="290" t="s">
        <v>21</v>
      </c>
      <c r="C64" s="291"/>
      <c r="D64" s="291"/>
      <c r="E64" s="27">
        <f>SUM(E61:E63)</f>
        <v>1046.7339999999999</v>
      </c>
    </row>
    <row r="65" spans="2:13" ht="13.5" thickBot="1">
      <c r="B65" s="21"/>
      <c r="E65" s="22"/>
      <c r="M65" s="41"/>
    </row>
    <row r="66" spans="2:13" ht="18" customHeight="1" thickBot="1">
      <c r="B66" s="271" t="s">
        <v>56</v>
      </c>
      <c r="C66" s="272"/>
      <c r="D66" s="272"/>
      <c r="E66" s="273"/>
      <c r="M66" s="41"/>
    </row>
    <row r="67" spans="2:13" ht="18" customHeight="1">
      <c r="B67" s="235">
        <v>3</v>
      </c>
      <c r="C67" s="237" t="s">
        <v>57</v>
      </c>
      <c r="D67" s="237" t="s">
        <v>27</v>
      </c>
      <c r="E67" s="234" t="s">
        <v>8</v>
      </c>
      <c r="M67" s="41"/>
    </row>
    <row r="68" spans="2:13" ht="18" customHeight="1">
      <c r="B68" s="24" t="s">
        <v>9</v>
      </c>
      <c r="C68" s="2" t="s">
        <v>58</v>
      </c>
      <c r="D68" s="14">
        <f>((1/12)*0.05)</f>
        <v>4.1666666666666666E-3</v>
      </c>
      <c r="E68" s="25">
        <f t="shared" ref="E68:E73" si="2">D68*($E$19)</f>
        <v>6.8791666666666664</v>
      </c>
    </row>
    <row r="69" spans="2:13" ht="18" customHeight="1">
      <c r="B69" s="24" t="s">
        <v>11</v>
      </c>
      <c r="C69" s="2" t="s">
        <v>59</v>
      </c>
      <c r="D69" s="14">
        <f>D41*D68</f>
        <v>3.3333333333333332E-4</v>
      </c>
      <c r="E69" s="25">
        <f t="shared" si="2"/>
        <v>0.55033333333333334</v>
      </c>
    </row>
    <row r="70" spans="2:13" ht="18" customHeight="1">
      <c r="B70" s="24" t="s">
        <v>13</v>
      </c>
      <c r="C70" s="2" t="s">
        <v>103</v>
      </c>
      <c r="D70" s="14">
        <f>(0.08)*(0.4)*(0.9)*(1+(1/12)+(1/12)+(1/3*1/12))</f>
        <v>3.4399999999999993E-2</v>
      </c>
      <c r="E70" s="25">
        <f t="shared" si="2"/>
        <v>56.794399999999989</v>
      </c>
      <c r="M70" s="41"/>
    </row>
    <row r="71" spans="2:13" ht="18" customHeight="1">
      <c r="B71" s="24" t="s">
        <v>15</v>
      </c>
      <c r="C71" s="2" t="s">
        <v>60</v>
      </c>
      <c r="D71" s="14">
        <f>(7/30)/12</f>
        <v>1.9444444444444445E-2</v>
      </c>
      <c r="E71" s="25">
        <f t="shared" si="2"/>
        <v>32.102777777777781</v>
      </c>
    </row>
    <row r="72" spans="2:13" ht="18" customHeight="1">
      <c r="B72" s="24" t="s">
        <v>17</v>
      </c>
      <c r="C72" s="2" t="s">
        <v>61</v>
      </c>
      <c r="D72" s="14">
        <f>D71*D42</f>
        <v>7.1555555555555565E-3</v>
      </c>
      <c r="E72" s="25">
        <f t="shared" si="2"/>
        <v>11.813822222222223</v>
      </c>
    </row>
    <row r="73" spans="2:13" ht="18" customHeight="1">
      <c r="B73" s="24" t="s">
        <v>19</v>
      </c>
      <c r="C73" s="2" t="s">
        <v>104</v>
      </c>
      <c r="D73" s="37">
        <f>(D71*D41)*0.4</f>
        <v>6.2222222222222236E-4</v>
      </c>
      <c r="E73" s="25">
        <f t="shared" si="2"/>
        <v>1.0272888888888891</v>
      </c>
    </row>
    <row r="74" spans="2:13" ht="18" customHeight="1">
      <c r="B74" s="290" t="s">
        <v>21</v>
      </c>
      <c r="C74" s="291"/>
      <c r="D74" s="13">
        <f>SUM(D68:D73)</f>
        <v>6.6122222222222207E-2</v>
      </c>
      <c r="E74" s="27">
        <f>SUM(E68:E73)</f>
        <v>109.16778888888889</v>
      </c>
    </row>
    <row r="75" spans="2:13" ht="51" customHeight="1">
      <c r="B75" s="298" t="s">
        <v>105</v>
      </c>
      <c r="C75" s="299"/>
      <c r="D75" s="299"/>
      <c r="E75" s="300"/>
    </row>
    <row r="76" spans="2:13" ht="13.5" thickBot="1">
      <c r="B76" s="21"/>
      <c r="E76" s="22"/>
    </row>
    <row r="77" spans="2:13" ht="18" customHeight="1" thickBot="1">
      <c r="B77" s="271" t="s">
        <v>62</v>
      </c>
      <c r="C77" s="272"/>
      <c r="D77" s="272"/>
      <c r="E77" s="273"/>
    </row>
    <row r="78" spans="2:13" ht="44.25" customHeight="1">
      <c r="B78" s="298" t="s">
        <v>363</v>
      </c>
      <c r="C78" s="299"/>
      <c r="D78" s="299"/>
      <c r="E78" s="300"/>
    </row>
    <row r="79" spans="2:13">
      <c r="B79" s="21"/>
      <c r="E79" s="22"/>
      <c r="K79" s="1"/>
      <c r="L79" s="1"/>
      <c r="M79" s="1"/>
    </row>
    <row r="80" spans="2:13" ht="18" customHeight="1">
      <c r="B80" s="301" t="s">
        <v>63</v>
      </c>
      <c r="C80" s="302"/>
      <c r="D80" s="302"/>
      <c r="E80" s="303"/>
    </row>
    <row r="81" spans="2:5" ht="18" customHeight="1">
      <c r="B81" s="19" t="s">
        <v>64</v>
      </c>
      <c r="C81" s="16" t="s">
        <v>65</v>
      </c>
      <c r="D81" s="16" t="s">
        <v>27</v>
      </c>
      <c r="E81" s="23" t="s">
        <v>8</v>
      </c>
    </row>
    <row r="82" spans="2:5" ht="18" customHeight="1">
      <c r="B82" s="24" t="s">
        <v>9</v>
      </c>
      <c r="C82" s="2" t="s">
        <v>100</v>
      </c>
      <c r="D82" s="242">
        <v>8.3299999999999999E-2</v>
      </c>
      <c r="E82" s="25">
        <f t="shared" ref="E82:E88" si="3">D82*($E$19)</f>
        <v>137.5283</v>
      </c>
    </row>
    <row r="83" spans="2:5" ht="18" customHeight="1">
      <c r="B83" s="24" t="s">
        <v>11</v>
      </c>
      <c r="C83" s="2" t="s">
        <v>66</v>
      </c>
      <c r="D83" s="242">
        <f>(3/30)/12</f>
        <v>8.3333333333333332E-3</v>
      </c>
      <c r="E83" s="25">
        <f t="shared" si="3"/>
        <v>13.758333333333333</v>
      </c>
    </row>
    <row r="84" spans="2:5" ht="18" customHeight="1">
      <c r="B84" s="24" t="s">
        <v>13</v>
      </c>
      <c r="C84" s="2" t="s">
        <v>67</v>
      </c>
      <c r="D84" s="242">
        <f>((5/30)/12)*0.015</f>
        <v>2.0833333333333332E-4</v>
      </c>
      <c r="E84" s="25">
        <f t="shared" si="3"/>
        <v>0.34395833333333331</v>
      </c>
    </row>
    <row r="85" spans="2:5" ht="18" customHeight="1">
      <c r="B85" s="24" t="s">
        <v>15</v>
      </c>
      <c r="C85" s="2" t="s">
        <v>68</v>
      </c>
      <c r="D85" s="242">
        <f>(((30/30)/12)*0.0078)</f>
        <v>6.4999999999999997E-4</v>
      </c>
      <c r="E85" s="25">
        <f t="shared" si="3"/>
        <v>1.07315</v>
      </c>
    </row>
    <row r="86" spans="2:5" ht="18" customHeight="1">
      <c r="B86" s="24" t="s">
        <v>17</v>
      </c>
      <c r="C86" s="2" t="s">
        <v>69</v>
      </c>
      <c r="D86" s="242">
        <f>((0.1111*0.1781*0.5*100))/100</f>
        <v>9.8934550000000007E-3</v>
      </c>
      <c r="E86" s="25">
        <f t="shared" si="3"/>
        <v>16.334094205</v>
      </c>
    </row>
    <row r="87" spans="2:5" ht="18" customHeight="1">
      <c r="B87" s="24" t="s">
        <v>19</v>
      </c>
      <c r="C87" s="2" t="s">
        <v>347</v>
      </c>
      <c r="D87" s="242">
        <f>(5/30)/12</f>
        <v>1.3888888888888888E-2</v>
      </c>
      <c r="E87" s="25">
        <f t="shared" si="3"/>
        <v>22.930555555555554</v>
      </c>
    </row>
    <row r="88" spans="2:5" ht="18" customHeight="1">
      <c r="B88" s="24" t="s">
        <v>39</v>
      </c>
      <c r="C88" s="2" t="s">
        <v>348</v>
      </c>
      <c r="D88" s="242">
        <v>0</v>
      </c>
      <c r="E88" s="25">
        <f t="shared" si="3"/>
        <v>0</v>
      </c>
    </row>
    <row r="89" spans="2:5" ht="18" customHeight="1">
      <c r="B89" s="268" t="s">
        <v>344</v>
      </c>
      <c r="C89" s="269"/>
      <c r="D89" s="238">
        <f>SUM(D82:D88)</f>
        <v>0.11627401055555556</v>
      </c>
      <c r="E89" s="27">
        <f>SUM(E82:E88)</f>
        <v>191.96839142722223</v>
      </c>
    </row>
    <row r="90" spans="2:5" ht="18" customHeight="1">
      <c r="B90" s="24" t="s">
        <v>41</v>
      </c>
      <c r="C90" s="2" t="s">
        <v>343</v>
      </c>
      <c r="D90" s="242">
        <f>($D$89-$D$86)*((1/12)+(1/12)+(1/12*1/3))</f>
        <v>2.0685108024691357E-2</v>
      </c>
      <c r="E90" s="25">
        <f>D90*($E$19)</f>
        <v>34.151113348765428</v>
      </c>
    </row>
    <row r="91" spans="2:5" ht="18" customHeight="1">
      <c r="B91" s="268" t="s">
        <v>345</v>
      </c>
      <c r="C91" s="269"/>
      <c r="D91" s="238">
        <f>SUM(D89:D90)</f>
        <v>0.13695911858024692</v>
      </c>
      <c r="E91" s="27">
        <f>SUM(E89:E90)</f>
        <v>226.11950477598765</v>
      </c>
    </row>
    <row r="92" spans="2:5" ht="18" customHeight="1">
      <c r="B92" s="24" t="s">
        <v>131</v>
      </c>
      <c r="C92" s="2" t="s">
        <v>346</v>
      </c>
      <c r="D92" s="242">
        <f>$D$42*$D$91</f>
        <v>5.0400955637530873E-2</v>
      </c>
      <c r="E92" s="25">
        <f>D92*($E$19)</f>
        <v>83.211977757563474</v>
      </c>
    </row>
    <row r="93" spans="2:5" ht="18" customHeight="1">
      <c r="B93" s="290" t="s">
        <v>21</v>
      </c>
      <c r="C93" s="291"/>
      <c r="D93" s="243">
        <f>SUM(D91:D92)</f>
        <v>0.18736007421777778</v>
      </c>
      <c r="E93" s="27">
        <f>SUM(E91:E92)</f>
        <v>309.33148253355114</v>
      </c>
    </row>
    <row r="94" spans="2:5">
      <c r="B94" s="21"/>
      <c r="E94" s="22"/>
    </row>
    <row r="95" spans="2:5">
      <c r="B95" s="290" t="s">
        <v>70</v>
      </c>
      <c r="C95" s="291"/>
      <c r="D95" s="291"/>
      <c r="E95" s="305"/>
    </row>
    <row r="96" spans="2:5">
      <c r="B96" s="19" t="s">
        <v>71</v>
      </c>
      <c r="C96" s="16" t="s">
        <v>72</v>
      </c>
      <c r="D96" s="16" t="s">
        <v>8</v>
      </c>
      <c r="E96" s="23"/>
    </row>
    <row r="97" spans="2:10">
      <c r="B97" s="24" t="s">
        <v>9</v>
      </c>
      <c r="C97" s="2" t="s">
        <v>73</v>
      </c>
      <c r="D97" s="8">
        <v>0</v>
      </c>
      <c r="E97" s="25">
        <v>0</v>
      </c>
    </row>
    <row r="98" spans="2:10">
      <c r="B98" s="306" t="s">
        <v>21</v>
      </c>
      <c r="C98" s="307"/>
      <c r="D98" s="18">
        <f>SUM(D97)</f>
        <v>0</v>
      </c>
      <c r="E98" s="233">
        <f>SUM(E97)</f>
        <v>0</v>
      </c>
    </row>
    <row r="99" spans="2:10">
      <c r="B99" s="21"/>
      <c r="E99" s="22"/>
    </row>
    <row r="100" spans="2:10">
      <c r="B100" s="290" t="s">
        <v>74</v>
      </c>
      <c r="C100" s="291"/>
      <c r="D100" s="291"/>
      <c r="E100" s="305"/>
    </row>
    <row r="101" spans="2:10" ht="18" customHeight="1">
      <c r="B101" s="19">
        <v>4</v>
      </c>
      <c r="C101" s="291" t="s">
        <v>75</v>
      </c>
      <c r="D101" s="291"/>
      <c r="E101" s="23" t="s">
        <v>8</v>
      </c>
    </row>
    <row r="102" spans="2:10" ht="18" customHeight="1">
      <c r="B102" s="24" t="s">
        <v>64</v>
      </c>
      <c r="C102" s="270" t="s">
        <v>65</v>
      </c>
      <c r="D102" s="270"/>
      <c r="E102" s="25">
        <f>E93</f>
        <v>309.33148253355114</v>
      </c>
    </row>
    <row r="103" spans="2:10" ht="18" customHeight="1">
      <c r="B103" s="24" t="s">
        <v>71</v>
      </c>
      <c r="C103" s="270" t="s">
        <v>76</v>
      </c>
      <c r="D103" s="270"/>
      <c r="E103" s="25">
        <f>D98</f>
        <v>0</v>
      </c>
    </row>
    <row r="104" spans="2:10" ht="18" customHeight="1">
      <c r="B104" s="290" t="s">
        <v>21</v>
      </c>
      <c r="C104" s="291"/>
      <c r="D104" s="291"/>
      <c r="E104" s="27">
        <f>SUM(E102:E103)</f>
        <v>309.33148253355114</v>
      </c>
    </row>
    <row r="105" spans="2:10" ht="13.5" thickBot="1">
      <c r="B105" s="21"/>
      <c r="E105" s="22"/>
    </row>
    <row r="106" spans="2:10" ht="18" customHeight="1" thickBot="1">
      <c r="B106" s="271" t="s">
        <v>77</v>
      </c>
      <c r="C106" s="272"/>
      <c r="D106" s="272"/>
      <c r="E106" s="273"/>
    </row>
    <row r="107" spans="2:10" ht="18" customHeight="1">
      <c r="B107" s="235">
        <v>5</v>
      </c>
      <c r="C107" s="296" t="s">
        <v>78</v>
      </c>
      <c r="D107" s="296"/>
      <c r="E107" s="234" t="s">
        <v>8</v>
      </c>
    </row>
    <row r="108" spans="2:10" ht="18" customHeight="1">
      <c r="B108" s="24" t="s">
        <v>9</v>
      </c>
      <c r="C108" s="270" t="s">
        <v>79</v>
      </c>
      <c r="D108" s="270"/>
      <c r="E108" s="25">
        <v>99</v>
      </c>
      <c r="F108" s="12"/>
    </row>
    <row r="109" spans="2:10" ht="18" customHeight="1">
      <c r="B109" s="24" t="s">
        <v>11</v>
      </c>
      <c r="C109" s="270" t="s">
        <v>80</v>
      </c>
      <c r="D109" s="270"/>
      <c r="E109" s="25">
        <v>104.36</v>
      </c>
      <c r="F109"/>
      <c r="G109"/>
      <c r="H109"/>
      <c r="I109"/>
      <c r="J109"/>
    </row>
    <row r="110" spans="2:10" ht="18" customHeight="1">
      <c r="B110" s="24" t="s">
        <v>13</v>
      </c>
      <c r="C110" s="270" t="s">
        <v>81</v>
      </c>
      <c r="D110" s="270"/>
      <c r="E110" s="25">
        <v>0</v>
      </c>
      <c r="F110"/>
      <c r="G110"/>
      <c r="H110"/>
      <c r="I110"/>
      <c r="J110"/>
    </row>
    <row r="111" spans="2:10" ht="18" customHeight="1">
      <c r="B111" s="24" t="s">
        <v>15</v>
      </c>
      <c r="C111" s="270" t="s">
        <v>20</v>
      </c>
      <c r="D111" s="270"/>
      <c r="E111" s="25">
        <v>0</v>
      </c>
      <c r="F111"/>
      <c r="G111"/>
      <c r="H111"/>
      <c r="I111"/>
      <c r="J111"/>
    </row>
    <row r="112" spans="2:10" ht="18" customHeight="1">
      <c r="B112" s="290" t="s">
        <v>21</v>
      </c>
      <c r="C112" s="291"/>
      <c r="D112" s="291"/>
      <c r="E112" s="27">
        <f>SUM(E108:E111)</f>
        <v>203.36</v>
      </c>
      <c r="F112"/>
      <c r="G112"/>
      <c r="H112"/>
      <c r="I112"/>
      <c r="J112"/>
    </row>
    <row r="113" spans="2:10" ht="18" customHeight="1">
      <c r="B113" s="298" t="s">
        <v>358</v>
      </c>
      <c r="C113" s="299"/>
      <c r="D113" s="299"/>
      <c r="E113" s="300"/>
    </row>
    <row r="114" spans="2:10" ht="13.5" thickBot="1">
      <c r="B114" s="21"/>
      <c r="E114" s="22"/>
    </row>
    <row r="115" spans="2:10" ht="18" customHeight="1" thickBot="1">
      <c r="B115" s="271" t="s">
        <v>82</v>
      </c>
      <c r="C115" s="272"/>
      <c r="D115" s="272"/>
      <c r="E115" s="273"/>
    </row>
    <row r="116" spans="2:10" ht="18" customHeight="1">
      <c r="B116" s="308" t="s">
        <v>341</v>
      </c>
      <c r="C116" s="309"/>
      <c r="D116" s="309" t="s">
        <v>107</v>
      </c>
      <c r="E116" s="310"/>
    </row>
    <row r="117" spans="2:10" ht="18" customHeight="1">
      <c r="B117" s="19">
        <v>6</v>
      </c>
      <c r="C117" s="16" t="s">
        <v>83</v>
      </c>
      <c r="D117" s="16" t="s">
        <v>27</v>
      </c>
      <c r="E117" s="23" t="s">
        <v>8</v>
      </c>
    </row>
    <row r="118" spans="2:10" ht="18" customHeight="1">
      <c r="B118" s="24" t="s">
        <v>9</v>
      </c>
      <c r="C118" s="35" t="s">
        <v>84</v>
      </c>
      <c r="D118" s="36">
        <v>0.05</v>
      </c>
      <c r="E118" s="34">
        <f>$D118*E$136</f>
        <v>165.97966357112202</v>
      </c>
    </row>
    <row r="119" spans="2:10" ht="18" customHeight="1">
      <c r="B119" s="24" t="s">
        <v>11</v>
      </c>
      <c r="C119" s="35" t="s">
        <v>85</v>
      </c>
      <c r="D119" s="36">
        <v>0.1</v>
      </c>
      <c r="E119" s="34">
        <f>$D119*(E$136+E118)</f>
        <v>348.55729349935621</v>
      </c>
    </row>
    <row r="120" spans="2:10" ht="18" customHeight="1">
      <c r="B120" s="28" t="s">
        <v>13</v>
      </c>
      <c r="C120" s="9" t="s">
        <v>86</v>
      </c>
      <c r="D120" s="36">
        <f>SUM(D121:D124)</f>
        <v>0.1125</v>
      </c>
      <c r="E120" s="34">
        <f>SUM(E121:E124)</f>
        <v>486.01650783713046</v>
      </c>
      <c r="I120" s="11"/>
    </row>
    <row r="121" spans="2:10" ht="18" customHeight="1">
      <c r="B121" s="24" t="s">
        <v>87</v>
      </c>
      <c r="C121" s="3" t="s">
        <v>88</v>
      </c>
      <c r="D121" s="33">
        <f>IF(D116="Lucro presumido",0.65%,1.65%)</f>
        <v>1.6500000000000001E-2</v>
      </c>
      <c r="E121" s="29">
        <f>($E$136+$E$118+$E$119)*D121/(1-$D$120)</f>
        <v>71.28242114944581</v>
      </c>
      <c r="I121" s="11"/>
    </row>
    <row r="122" spans="2:10" ht="18" customHeight="1">
      <c r="B122" s="24" t="s">
        <v>89</v>
      </c>
      <c r="C122" s="3" t="s">
        <v>90</v>
      </c>
      <c r="D122" s="33">
        <f>IF(D116="Lucro presumido",3%,7.6%)</f>
        <v>7.5999999999999998E-2</v>
      </c>
      <c r="E122" s="29">
        <f>($E$136+$E$118+$E$119)*D122/(1-$D$120)</f>
        <v>328.33115196108372</v>
      </c>
      <c r="J122" s="11"/>
    </row>
    <row r="123" spans="2:10" ht="18" customHeight="1">
      <c r="B123" s="24" t="s">
        <v>91</v>
      </c>
      <c r="C123" s="3" t="s">
        <v>106</v>
      </c>
      <c r="D123" s="244">
        <v>0.02</v>
      </c>
      <c r="E123" s="29">
        <f>($E$136+$E$118+$E$119)*D123/(1-$D$120)</f>
        <v>86.402934726600975</v>
      </c>
      <c r="J123" s="11"/>
    </row>
    <row r="124" spans="2:10" ht="18" customHeight="1">
      <c r="B124" s="24" t="s">
        <v>15</v>
      </c>
      <c r="C124" s="2" t="s">
        <v>92</v>
      </c>
      <c r="D124" s="33">
        <v>0</v>
      </c>
      <c r="E124" s="29">
        <f>($E$136+$E$118+$E$119)*D124/(1-$D$120)</f>
        <v>0</v>
      </c>
      <c r="J124" s="11"/>
    </row>
    <row r="125" spans="2:10" ht="18" customHeight="1">
      <c r="B125" s="290" t="s">
        <v>21</v>
      </c>
      <c r="C125" s="291"/>
      <c r="D125" s="15">
        <f>SUM(D118:D120)</f>
        <v>0.26250000000000001</v>
      </c>
      <c r="E125" s="31">
        <f>SUM(E118:E120)</f>
        <v>1000.5534649076087</v>
      </c>
      <c r="J125" s="11"/>
    </row>
    <row r="126" spans="2:10" ht="18" customHeight="1">
      <c r="B126" s="298" t="s">
        <v>93</v>
      </c>
      <c r="C126" s="299"/>
      <c r="D126" s="299"/>
      <c r="E126" s="300"/>
      <c r="J126" s="11"/>
    </row>
    <row r="127" spans="2:10" ht="25.5" customHeight="1">
      <c r="B127" s="298" t="s">
        <v>94</v>
      </c>
      <c r="C127" s="299"/>
      <c r="D127" s="299"/>
      <c r="E127" s="300"/>
      <c r="J127" s="11"/>
    </row>
    <row r="128" spans="2:10" ht="13.5" thickBot="1">
      <c r="B128" s="21"/>
      <c r="E128" s="22"/>
    </row>
    <row r="129" spans="2:10" ht="18" customHeight="1" thickBot="1">
      <c r="B129" s="271" t="s">
        <v>95</v>
      </c>
      <c r="C129" s="272"/>
      <c r="D129" s="272"/>
      <c r="E129" s="273"/>
    </row>
    <row r="130" spans="2:10" ht="18" customHeight="1">
      <c r="B130" s="295" t="s">
        <v>96</v>
      </c>
      <c r="C130" s="296"/>
      <c r="D130" s="296"/>
      <c r="E130" s="234" t="s">
        <v>97</v>
      </c>
      <c r="J130" s="11"/>
    </row>
    <row r="131" spans="2:10" ht="18" customHeight="1">
      <c r="B131" s="24" t="s">
        <v>9</v>
      </c>
      <c r="C131" s="304" t="s">
        <v>6</v>
      </c>
      <c r="D131" s="304"/>
      <c r="E131" s="30">
        <f>E19</f>
        <v>1651</v>
      </c>
      <c r="H131" s="11"/>
    </row>
    <row r="132" spans="2:10" ht="18" customHeight="1">
      <c r="B132" s="24" t="s">
        <v>11</v>
      </c>
      <c r="C132" s="304" t="s">
        <v>23</v>
      </c>
      <c r="D132" s="304"/>
      <c r="E132" s="30">
        <f>E64</f>
        <v>1046.7339999999999</v>
      </c>
      <c r="J132" s="11"/>
    </row>
    <row r="133" spans="2:10" ht="18" customHeight="1">
      <c r="B133" s="24" t="s">
        <v>13</v>
      </c>
      <c r="C133" s="304" t="s">
        <v>56</v>
      </c>
      <c r="D133" s="304"/>
      <c r="E133" s="30">
        <f>E74</f>
        <v>109.16778888888889</v>
      </c>
      <c r="J133" s="11"/>
    </row>
    <row r="134" spans="2:10" ht="18" customHeight="1">
      <c r="B134" s="24" t="s">
        <v>15</v>
      </c>
      <c r="C134" s="304" t="s">
        <v>62</v>
      </c>
      <c r="D134" s="304"/>
      <c r="E134" s="30">
        <f>E104</f>
        <v>309.33148253355114</v>
      </c>
      <c r="H134" s="11"/>
      <c r="J134" s="11"/>
    </row>
    <row r="135" spans="2:10" ht="18" customHeight="1">
      <c r="B135" s="24" t="s">
        <v>17</v>
      </c>
      <c r="C135" s="304" t="s">
        <v>77</v>
      </c>
      <c r="D135" s="304"/>
      <c r="E135" s="30">
        <f>E112</f>
        <v>203.36</v>
      </c>
      <c r="H135" s="11"/>
      <c r="J135" s="11"/>
    </row>
    <row r="136" spans="2:10" ht="18" customHeight="1">
      <c r="B136" s="290" t="s">
        <v>98</v>
      </c>
      <c r="C136" s="291"/>
      <c r="D136" s="291"/>
      <c r="E136" s="31">
        <f>SUM(E131:E135)</f>
        <v>3319.59327142244</v>
      </c>
    </row>
    <row r="137" spans="2:10" ht="18" customHeight="1">
      <c r="B137" s="24" t="s">
        <v>19</v>
      </c>
      <c r="C137" s="270" t="s">
        <v>82</v>
      </c>
      <c r="D137" s="270"/>
      <c r="E137" s="30">
        <f>E125</f>
        <v>1000.5534649076087</v>
      </c>
    </row>
    <row r="138" spans="2:10" ht="18" customHeight="1" thickBot="1">
      <c r="B138" s="311" t="s">
        <v>99</v>
      </c>
      <c r="C138" s="312"/>
      <c r="D138" s="312"/>
      <c r="E138" s="32">
        <f>SUM(E136:E137)</f>
        <v>4320.146736330049</v>
      </c>
    </row>
    <row r="139" spans="2:10" ht="18" customHeight="1"/>
    <row r="140" spans="2:10">
      <c r="B140" s="299"/>
      <c r="C140" s="299"/>
      <c r="D140" s="299"/>
      <c r="E140" s="299"/>
    </row>
    <row r="143" spans="2:10">
      <c r="E143" s="11"/>
    </row>
    <row r="144" spans="2:10">
      <c r="E144" s="11"/>
    </row>
    <row r="145" spans="5:5">
      <c r="E145" s="11"/>
    </row>
    <row r="146" spans="5:5">
      <c r="E146" s="11"/>
    </row>
    <row r="147" spans="5:5">
      <c r="E147" s="11"/>
    </row>
  </sheetData>
  <mergeCells count="81">
    <mergeCell ref="B136:D136"/>
    <mergeCell ref="C137:D137"/>
    <mergeCell ref="B138:D138"/>
    <mergeCell ref="B140:E140"/>
    <mergeCell ref="B130:D130"/>
    <mergeCell ref="C131:D131"/>
    <mergeCell ref="C132:D132"/>
    <mergeCell ref="C133:D133"/>
    <mergeCell ref="C134:D134"/>
    <mergeCell ref="C135:D135"/>
    <mergeCell ref="B129:E129"/>
    <mergeCell ref="C109:D109"/>
    <mergeCell ref="C110:D110"/>
    <mergeCell ref="C111:D111"/>
    <mergeCell ref="B112:D112"/>
    <mergeCell ref="B113:E113"/>
    <mergeCell ref="B115:E115"/>
    <mergeCell ref="B116:C116"/>
    <mergeCell ref="D116:E116"/>
    <mergeCell ref="B125:C125"/>
    <mergeCell ref="B126:E126"/>
    <mergeCell ref="B127:E127"/>
    <mergeCell ref="C108:D108"/>
    <mergeCell ref="B93:C93"/>
    <mergeCell ref="B95:E95"/>
    <mergeCell ref="B98:C98"/>
    <mergeCell ref="B100:E100"/>
    <mergeCell ref="C101:D101"/>
    <mergeCell ref="C102:D102"/>
    <mergeCell ref="C103:D103"/>
    <mergeCell ref="B104:D104"/>
    <mergeCell ref="B106:E106"/>
    <mergeCell ref="C107:D107"/>
    <mergeCell ref="B80:E80"/>
    <mergeCell ref="C60:D60"/>
    <mergeCell ref="C61:D61"/>
    <mergeCell ref="C62:D62"/>
    <mergeCell ref="C63:D63"/>
    <mergeCell ref="B64:D64"/>
    <mergeCell ref="B66:E66"/>
    <mergeCell ref="B74:C74"/>
    <mergeCell ref="B75:E75"/>
    <mergeCell ref="B77:E77"/>
    <mergeCell ref="B78:E78"/>
    <mergeCell ref="B59:E59"/>
    <mergeCell ref="B32:E32"/>
    <mergeCell ref="B42:C42"/>
    <mergeCell ref="B43:E43"/>
    <mergeCell ref="B44:E44"/>
    <mergeCell ref="B45:E45"/>
    <mergeCell ref="B46:E46"/>
    <mergeCell ref="B48:E48"/>
    <mergeCell ref="B55:D55"/>
    <mergeCell ref="B56:E56"/>
    <mergeCell ref="B57:E57"/>
    <mergeCell ref="B22:E22"/>
    <mergeCell ref="B23:E23"/>
    <mergeCell ref="B27:C27"/>
    <mergeCell ref="B28:E28"/>
    <mergeCell ref="B29:E29"/>
    <mergeCell ref="C16:D16"/>
    <mergeCell ref="C17:D17"/>
    <mergeCell ref="C18:D18"/>
    <mergeCell ref="B19:D19"/>
    <mergeCell ref="B20:E20"/>
    <mergeCell ref="B89:C89"/>
    <mergeCell ref="B91:C91"/>
    <mergeCell ref="C14:D14"/>
    <mergeCell ref="B2:E2"/>
    <mergeCell ref="B3:E3"/>
    <mergeCell ref="D4:E4"/>
    <mergeCell ref="D5:E5"/>
    <mergeCell ref="D6:E6"/>
    <mergeCell ref="D7:E7"/>
    <mergeCell ref="D8:E8"/>
    <mergeCell ref="D9:E9"/>
    <mergeCell ref="B11:E11"/>
    <mergeCell ref="C12:D12"/>
    <mergeCell ref="C13:D13"/>
    <mergeCell ref="B30:E30"/>
    <mergeCell ref="C15:D15"/>
  </mergeCells>
  <dataValidations disablePrompts="1" count="1">
    <dataValidation type="list" allowBlank="1" showInputMessage="1" showErrorMessage="1" sqref="D116:E116" xr:uid="{00000000-0002-0000-0000-000000000000}">
      <formula1>"Lucro presumido,Lucro real"</formula1>
    </dataValidation>
  </dataValidations>
  <printOptions horizontalCentered="1"/>
  <pageMargins left="0.55118110236220474" right="0.55118110236220474" top="1.2598425196850394" bottom="0.98425196850393704" header="0" footer="0"/>
  <pageSetup paperSize="9" scale="69" fitToHeight="0" orientation="portrait" r:id="rId1"/>
  <ignoredErrors>
    <ignoredError sqref="E91:E92 D92 E8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4"/>
  <sheetViews>
    <sheetView showGridLines="0" view="pageBreakPreview" topLeftCell="A97" zoomScale="60" zoomScaleNormal="100" workbookViewId="0">
      <selection activeCell="B98" sqref="B98:C98"/>
    </sheetView>
  </sheetViews>
  <sheetFormatPr defaultColWidth="8.85546875" defaultRowHeight="14.25"/>
  <cols>
    <col min="1" max="1" width="2.7109375" style="42" customWidth="1"/>
    <col min="2" max="2" width="5" style="125" customWidth="1"/>
    <col min="3" max="3" width="66.28515625" style="52" customWidth="1"/>
    <col min="4" max="4" width="9.5703125" style="52" customWidth="1"/>
    <col min="5" max="5" width="26.28515625" style="52" customWidth="1"/>
    <col min="6" max="6" width="23.140625" style="52" customWidth="1"/>
    <col min="7" max="7" width="46.28515625" style="52" customWidth="1"/>
    <col min="8" max="8" width="2.7109375" style="42" customWidth="1"/>
    <col min="9" max="256" width="8.85546875" style="52"/>
    <col min="257" max="257" width="7.140625" style="52" customWidth="1"/>
    <col min="258" max="258" width="9.140625" style="52" customWidth="1"/>
    <col min="259" max="259" width="55.42578125" style="52" customWidth="1"/>
    <col min="260" max="260" width="17.140625" style="52" customWidth="1"/>
    <col min="261" max="261" width="20.28515625" style="52" customWidth="1"/>
    <col min="262" max="262" width="27.7109375" style="52" customWidth="1"/>
    <col min="263" max="263" width="57.85546875" style="52" customWidth="1"/>
    <col min="264" max="264" width="8.7109375" style="52" customWidth="1"/>
    <col min="265" max="512" width="8.85546875" style="52"/>
    <col min="513" max="513" width="7.140625" style="52" customWidth="1"/>
    <col min="514" max="514" width="9.140625" style="52" customWidth="1"/>
    <col min="515" max="515" width="55.42578125" style="52" customWidth="1"/>
    <col min="516" max="516" width="17.140625" style="52" customWidth="1"/>
    <col min="517" max="517" width="20.28515625" style="52" customWidth="1"/>
    <col min="518" max="518" width="27.7109375" style="52" customWidth="1"/>
    <col min="519" max="519" width="57.85546875" style="52" customWidth="1"/>
    <col min="520" max="520" width="8.7109375" style="52" customWidth="1"/>
    <col min="521" max="768" width="8.85546875" style="52"/>
    <col min="769" max="769" width="7.140625" style="52" customWidth="1"/>
    <col min="770" max="770" width="9.140625" style="52" customWidth="1"/>
    <col min="771" max="771" width="55.42578125" style="52" customWidth="1"/>
    <col min="772" max="772" width="17.140625" style="52" customWidth="1"/>
    <col min="773" max="773" width="20.28515625" style="52" customWidth="1"/>
    <col min="774" max="774" width="27.7109375" style="52" customWidth="1"/>
    <col min="775" max="775" width="57.85546875" style="52" customWidth="1"/>
    <col min="776" max="776" width="8.7109375" style="52" customWidth="1"/>
    <col min="777" max="1024" width="8.85546875" style="52"/>
    <col min="1025" max="1025" width="7.140625" style="52" customWidth="1"/>
    <col min="1026" max="1026" width="9.140625" style="52" customWidth="1"/>
    <col min="1027" max="1027" width="55.42578125" style="52" customWidth="1"/>
    <col min="1028" max="1028" width="17.140625" style="52" customWidth="1"/>
    <col min="1029" max="1029" width="20.28515625" style="52" customWidth="1"/>
    <col min="1030" max="1030" width="27.7109375" style="52" customWidth="1"/>
    <col min="1031" max="1031" width="57.85546875" style="52" customWidth="1"/>
    <col min="1032" max="1032" width="8.7109375" style="52" customWidth="1"/>
    <col min="1033" max="1280" width="8.85546875" style="52"/>
    <col min="1281" max="1281" width="7.140625" style="52" customWidth="1"/>
    <col min="1282" max="1282" width="9.140625" style="52" customWidth="1"/>
    <col min="1283" max="1283" width="55.42578125" style="52" customWidth="1"/>
    <col min="1284" max="1284" width="17.140625" style="52" customWidth="1"/>
    <col min="1285" max="1285" width="20.28515625" style="52" customWidth="1"/>
    <col min="1286" max="1286" width="27.7109375" style="52" customWidth="1"/>
    <col min="1287" max="1287" width="57.85546875" style="52" customWidth="1"/>
    <col min="1288" max="1288" width="8.7109375" style="52" customWidth="1"/>
    <col min="1289" max="1536" width="8.85546875" style="52"/>
    <col min="1537" max="1537" width="7.140625" style="52" customWidth="1"/>
    <col min="1538" max="1538" width="9.140625" style="52" customWidth="1"/>
    <col min="1539" max="1539" width="55.42578125" style="52" customWidth="1"/>
    <col min="1540" max="1540" width="17.140625" style="52" customWidth="1"/>
    <col min="1541" max="1541" width="20.28515625" style="52" customWidth="1"/>
    <col min="1542" max="1542" width="27.7109375" style="52" customWidth="1"/>
    <col min="1543" max="1543" width="57.85546875" style="52" customWidth="1"/>
    <col min="1544" max="1544" width="8.7109375" style="52" customWidth="1"/>
    <col min="1545" max="1792" width="8.85546875" style="52"/>
    <col min="1793" max="1793" width="7.140625" style="52" customWidth="1"/>
    <col min="1794" max="1794" width="9.140625" style="52" customWidth="1"/>
    <col min="1795" max="1795" width="55.42578125" style="52" customWidth="1"/>
    <col min="1796" max="1796" width="17.140625" style="52" customWidth="1"/>
    <col min="1797" max="1797" width="20.28515625" style="52" customWidth="1"/>
    <col min="1798" max="1798" width="27.7109375" style="52" customWidth="1"/>
    <col min="1799" max="1799" width="57.85546875" style="52" customWidth="1"/>
    <col min="1800" max="1800" width="8.7109375" style="52" customWidth="1"/>
    <col min="1801" max="2048" width="8.85546875" style="52"/>
    <col min="2049" max="2049" width="7.140625" style="52" customWidth="1"/>
    <col min="2050" max="2050" width="9.140625" style="52" customWidth="1"/>
    <col min="2051" max="2051" width="55.42578125" style="52" customWidth="1"/>
    <col min="2052" max="2052" width="17.140625" style="52" customWidth="1"/>
    <col min="2053" max="2053" width="20.28515625" style="52" customWidth="1"/>
    <col min="2054" max="2054" width="27.7109375" style="52" customWidth="1"/>
    <col min="2055" max="2055" width="57.85546875" style="52" customWidth="1"/>
    <col min="2056" max="2056" width="8.7109375" style="52" customWidth="1"/>
    <col min="2057" max="2304" width="8.85546875" style="52"/>
    <col min="2305" max="2305" width="7.140625" style="52" customWidth="1"/>
    <col min="2306" max="2306" width="9.140625" style="52" customWidth="1"/>
    <col min="2307" max="2307" width="55.42578125" style="52" customWidth="1"/>
    <col min="2308" max="2308" width="17.140625" style="52" customWidth="1"/>
    <col min="2309" max="2309" width="20.28515625" style="52" customWidth="1"/>
    <col min="2310" max="2310" width="27.7109375" style="52" customWidth="1"/>
    <col min="2311" max="2311" width="57.85546875" style="52" customWidth="1"/>
    <col min="2312" max="2312" width="8.7109375" style="52" customWidth="1"/>
    <col min="2313" max="2560" width="8.85546875" style="52"/>
    <col min="2561" max="2561" width="7.140625" style="52" customWidth="1"/>
    <col min="2562" max="2562" width="9.140625" style="52" customWidth="1"/>
    <col min="2563" max="2563" width="55.42578125" style="52" customWidth="1"/>
    <col min="2564" max="2564" width="17.140625" style="52" customWidth="1"/>
    <col min="2565" max="2565" width="20.28515625" style="52" customWidth="1"/>
    <col min="2566" max="2566" width="27.7109375" style="52" customWidth="1"/>
    <col min="2567" max="2567" width="57.85546875" style="52" customWidth="1"/>
    <col min="2568" max="2568" width="8.7109375" style="52" customWidth="1"/>
    <col min="2569" max="2816" width="8.85546875" style="52"/>
    <col min="2817" max="2817" width="7.140625" style="52" customWidth="1"/>
    <col min="2818" max="2818" width="9.140625" style="52" customWidth="1"/>
    <col min="2819" max="2819" width="55.42578125" style="52" customWidth="1"/>
    <col min="2820" max="2820" width="17.140625" style="52" customWidth="1"/>
    <col min="2821" max="2821" width="20.28515625" style="52" customWidth="1"/>
    <col min="2822" max="2822" width="27.7109375" style="52" customWidth="1"/>
    <col min="2823" max="2823" width="57.85546875" style="52" customWidth="1"/>
    <col min="2824" max="2824" width="8.7109375" style="52" customWidth="1"/>
    <col min="2825" max="3072" width="8.85546875" style="52"/>
    <col min="3073" max="3073" width="7.140625" style="52" customWidth="1"/>
    <col min="3074" max="3074" width="9.140625" style="52" customWidth="1"/>
    <col min="3075" max="3075" width="55.42578125" style="52" customWidth="1"/>
    <col min="3076" max="3076" width="17.140625" style="52" customWidth="1"/>
    <col min="3077" max="3077" width="20.28515625" style="52" customWidth="1"/>
    <col min="3078" max="3078" width="27.7109375" style="52" customWidth="1"/>
    <col min="3079" max="3079" width="57.85546875" style="52" customWidth="1"/>
    <col min="3080" max="3080" width="8.7109375" style="52" customWidth="1"/>
    <col min="3081" max="3328" width="8.85546875" style="52"/>
    <col min="3329" max="3329" width="7.140625" style="52" customWidth="1"/>
    <col min="3330" max="3330" width="9.140625" style="52" customWidth="1"/>
    <col min="3331" max="3331" width="55.42578125" style="52" customWidth="1"/>
    <col min="3332" max="3332" width="17.140625" style="52" customWidth="1"/>
    <col min="3333" max="3333" width="20.28515625" style="52" customWidth="1"/>
    <col min="3334" max="3334" width="27.7109375" style="52" customWidth="1"/>
    <col min="3335" max="3335" width="57.85546875" style="52" customWidth="1"/>
    <col min="3336" max="3336" width="8.7109375" style="52" customWidth="1"/>
    <col min="3337" max="3584" width="8.85546875" style="52"/>
    <col min="3585" max="3585" width="7.140625" style="52" customWidth="1"/>
    <col min="3586" max="3586" width="9.140625" style="52" customWidth="1"/>
    <col min="3587" max="3587" width="55.42578125" style="52" customWidth="1"/>
    <col min="3588" max="3588" width="17.140625" style="52" customWidth="1"/>
    <col min="3589" max="3589" width="20.28515625" style="52" customWidth="1"/>
    <col min="3590" max="3590" width="27.7109375" style="52" customWidth="1"/>
    <col min="3591" max="3591" width="57.85546875" style="52" customWidth="1"/>
    <col min="3592" max="3592" width="8.7109375" style="52" customWidth="1"/>
    <col min="3593" max="3840" width="8.85546875" style="52"/>
    <col min="3841" max="3841" width="7.140625" style="52" customWidth="1"/>
    <col min="3842" max="3842" width="9.140625" style="52" customWidth="1"/>
    <col min="3843" max="3843" width="55.42578125" style="52" customWidth="1"/>
    <col min="3844" max="3844" width="17.140625" style="52" customWidth="1"/>
    <col min="3845" max="3845" width="20.28515625" style="52" customWidth="1"/>
    <col min="3846" max="3846" width="27.7109375" style="52" customWidth="1"/>
    <col min="3847" max="3847" width="57.85546875" style="52" customWidth="1"/>
    <col min="3848" max="3848" width="8.7109375" style="52" customWidth="1"/>
    <col min="3849" max="4096" width="8.85546875" style="52"/>
    <col min="4097" max="4097" width="7.140625" style="52" customWidth="1"/>
    <col min="4098" max="4098" width="9.140625" style="52" customWidth="1"/>
    <col min="4099" max="4099" width="55.42578125" style="52" customWidth="1"/>
    <col min="4100" max="4100" width="17.140625" style="52" customWidth="1"/>
    <col min="4101" max="4101" width="20.28515625" style="52" customWidth="1"/>
    <col min="4102" max="4102" width="27.7109375" style="52" customWidth="1"/>
    <col min="4103" max="4103" width="57.85546875" style="52" customWidth="1"/>
    <col min="4104" max="4104" width="8.7109375" style="52" customWidth="1"/>
    <col min="4105" max="4352" width="8.85546875" style="52"/>
    <col min="4353" max="4353" width="7.140625" style="52" customWidth="1"/>
    <col min="4354" max="4354" width="9.140625" style="52" customWidth="1"/>
    <col min="4355" max="4355" width="55.42578125" style="52" customWidth="1"/>
    <col min="4356" max="4356" width="17.140625" style="52" customWidth="1"/>
    <col min="4357" max="4357" width="20.28515625" style="52" customWidth="1"/>
    <col min="4358" max="4358" width="27.7109375" style="52" customWidth="1"/>
    <col min="4359" max="4359" width="57.85546875" style="52" customWidth="1"/>
    <col min="4360" max="4360" width="8.7109375" style="52" customWidth="1"/>
    <col min="4361" max="4608" width="8.85546875" style="52"/>
    <col min="4609" max="4609" width="7.140625" style="52" customWidth="1"/>
    <col min="4610" max="4610" width="9.140625" style="52" customWidth="1"/>
    <col min="4611" max="4611" width="55.42578125" style="52" customWidth="1"/>
    <col min="4612" max="4612" width="17.140625" style="52" customWidth="1"/>
    <col min="4613" max="4613" width="20.28515625" style="52" customWidth="1"/>
    <col min="4614" max="4614" width="27.7109375" style="52" customWidth="1"/>
    <col min="4615" max="4615" width="57.85546875" style="52" customWidth="1"/>
    <col min="4616" max="4616" width="8.7109375" style="52" customWidth="1"/>
    <col min="4617" max="4864" width="8.85546875" style="52"/>
    <col min="4865" max="4865" width="7.140625" style="52" customWidth="1"/>
    <col min="4866" max="4866" width="9.140625" style="52" customWidth="1"/>
    <col min="4867" max="4867" width="55.42578125" style="52" customWidth="1"/>
    <col min="4868" max="4868" width="17.140625" style="52" customWidth="1"/>
    <col min="4869" max="4869" width="20.28515625" style="52" customWidth="1"/>
    <col min="4870" max="4870" width="27.7109375" style="52" customWidth="1"/>
    <col min="4871" max="4871" width="57.85546875" style="52" customWidth="1"/>
    <col min="4872" max="4872" width="8.7109375" style="52" customWidth="1"/>
    <col min="4873" max="5120" width="8.85546875" style="52"/>
    <col min="5121" max="5121" width="7.140625" style="52" customWidth="1"/>
    <col min="5122" max="5122" width="9.140625" style="52" customWidth="1"/>
    <col min="5123" max="5123" width="55.42578125" style="52" customWidth="1"/>
    <col min="5124" max="5124" width="17.140625" style="52" customWidth="1"/>
    <col min="5125" max="5125" width="20.28515625" style="52" customWidth="1"/>
    <col min="5126" max="5126" width="27.7109375" style="52" customWidth="1"/>
    <col min="5127" max="5127" width="57.85546875" style="52" customWidth="1"/>
    <col min="5128" max="5128" width="8.7109375" style="52" customWidth="1"/>
    <col min="5129" max="5376" width="8.85546875" style="52"/>
    <col min="5377" max="5377" width="7.140625" style="52" customWidth="1"/>
    <col min="5378" max="5378" width="9.140625" style="52" customWidth="1"/>
    <col min="5379" max="5379" width="55.42578125" style="52" customWidth="1"/>
    <col min="5380" max="5380" width="17.140625" style="52" customWidth="1"/>
    <col min="5381" max="5381" width="20.28515625" style="52" customWidth="1"/>
    <col min="5382" max="5382" width="27.7109375" style="52" customWidth="1"/>
    <col min="5383" max="5383" width="57.85546875" style="52" customWidth="1"/>
    <col min="5384" max="5384" width="8.7109375" style="52" customWidth="1"/>
    <col min="5385" max="5632" width="8.85546875" style="52"/>
    <col min="5633" max="5633" width="7.140625" style="52" customWidth="1"/>
    <col min="5634" max="5634" width="9.140625" style="52" customWidth="1"/>
    <col min="5635" max="5635" width="55.42578125" style="52" customWidth="1"/>
    <col min="5636" max="5636" width="17.140625" style="52" customWidth="1"/>
    <col min="5637" max="5637" width="20.28515625" style="52" customWidth="1"/>
    <col min="5638" max="5638" width="27.7109375" style="52" customWidth="1"/>
    <col min="5639" max="5639" width="57.85546875" style="52" customWidth="1"/>
    <col min="5640" max="5640" width="8.7109375" style="52" customWidth="1"/>
    <col min="5641" max="5888" width="8.85546875" style="52"/>
    <col min="5889" max="5889" width="7.140625" style="52" customWidth="1"/>
    <col min="5890" max="5890" width="9.140625" style="52" customWidth="1"/>
    <col min="5891" max="5891" width="55.42578125" style="52" customWidth="1"/>
    <col min="5892" max="5892" width="17.140625" style="52" customWidth="1"/>
    <col min="5893" max="5893" width="20.28515625" style="52" customWidth="1"/>
    <col min="5894" max="5894" width="27.7109375" style="52" customWidth="1"/>
    <col min="5895" max="5895" width="57.85546875" style="52" customWidth="1"/>
    <col min="5896" max="5896" width="8.7109375" style="52" customWidth="1"/>
    <col min="5897" max="6144" width="8.85546875" style="52"/>
    <col min="6145" max="6145" width="7.140625" style="52" customWidth="1"/>
    <col min="6146" max="6146" width="9.140625" style="52" customWidth="1"/>
    <col min="6147" max="6147" width="55.42578125" style="52" customWidth="1"/>
    <col min="6148" max="6148" width="17.140625" style="52" customWidth="1"/>
    <col min="6149" max="6149" width="20.28515625" style="52" customWidth="1"/>
    <col min="6150" max="6150" width="27.7109375" style="52" customWidth="1"/>
    <col min="6151" max="6151" width="57.85546875" style="52" customWidth="1"/>
    <col min="6152" max="6152" width="8.7109375" style="52" customWidth="1"/>
    <col min="6153" max="6400" width="8.85546875" style="52"/>
    <col min="6401" max="6401" width="7.140625" style="52" customWidth="1"/>
    <col min="6402" max="6402" width="9.140625" style="52" customWidth="1"/>
    <col min="6403" max="6403" width="55.42578125" style="52" customWidth="1"/>
    <col min="6404" max="6404" width="17.140625" style="52" customWidth="1"/>
    <col min="6405" max="6405" width="20.28515625" style="52" customWidth="1"/>
    <col min="6406" max="6406" width="27.7109375" style="52" customWidth="1"/>
    <col min="6407" max="6407" width="57.85546875" style="52" customWidth="1"/>
    <col min="6408" max="6408" width="8.7109375" style="52" customWidth="1"/>
    <col min="6409" max="6656" width="8.85546875" style="52"/>
    <col min="6657" max="6657" width="7.140625" style="52" customWidth="1"/>
    <col min="6658" max="6658" width="9.140625" style="52" customWidth="1"/>
    <col min="6659" max="6659" width="55.42578125" style="52" customWidth="1"/>
    <col min="6660" max="6660" width="17.140625" style="52" customWidth="1"/>
    <col min="6661" max="6661" width="20.28515625" style="52" customWidth="1"/>
    <col min="6662" max="6662" width="27.7109375" style="52" customWidth="1"/>
    <col min="6663" max="6663" width="57.85546875" style="52" customWidth="1"/>
    <col min="6664" max="6664" width="8.7109375" style="52" customWidth="1"/>
    <col min="6665" max="6912" width="8.85546875" style="52"/>
    <col min="6913" max="6913" width="7.140625" style="52" customWidth="1"/>
    <col min="6914" max="6914" width="9.140625" style="52" customWidth="1"/>
    <col min="6915" max="6915" width="55.42578125" style="52" customWidth="1"/>
    <col min="6916" max="6916" width="17.140625" style="52" customWidth="1"/>
    <col min="6917" max="6917" width="20.28515625" style="52" customWidth="1"/>
    <col min="6918" max="6918" width="27.7109375" style="52" customWidth="1"/>
    <col min="6919" max="6919" width="57.85546875" style="52" customWidth="1"/>
    <col min="6920" max="6920" width="8.7109375" style="52" customWidth="1"/>
    <col min="6921" max="7168" width="8.85546875" style="52"/>
    <col min="7169" max="7169" width="7.140625" style="52" customWidth="1"/>
    <col min="7170" max="7170" width="9.140625" style="52" customWidth="1"/>
    <col min="7171" max="7171" width="55.42578125" style="52" customWidth="1"/>
    <col min="7172" max="7172" width="17.140625" style="52" customWidth="1"/>
    <col min="7173" max="7173" width="20.28515625" style="52" customWidth="1"/>
    <col min="7174" max="7174" width="27.7109375" style="52" customWidth="1"/>
    <col min="7175" max="7175" width="57.85546875" style="52" customWidth="1"/>
    <col min="7176" max="7176" width="8.7109375" style="52" customWidth="1"/>
    <col min="7177" max="7424" width="8.85546875" style="52"/>
    <col min="7425" max="7425" width="7.140625" style="52" customWidth="1"/>
    <col min="7426" max="7426" width="9.140625" style="52" customWidth="1"/>
    <col min="7427" max="7427" width="55.42578125" style="52" customWidth="1"/>
    <col min="7428" max="7428" width="17.140625" style="52" customWidth="1"/>
    <col min="7429" max="7429" width="20.28515625" style="52" customWidth="1"/>
    <col min="7430" max="7430" width="27.7109375" style="52" customWidth="1"/>
    <col min="7431" max="7431" width="57.85546875" style="52" customWidth="1"/>
    <col min="7432" max="7432" width="8.7109375" style="52" customWidth="1"/>
    <col min="7433" max="7680" width="8.85546875" style="52"/>
    <col min="7681" max="7681" width="7.140625" style="52" customWidth="1"/>
    <col min="7682" max="7682" width="9.140625" style="52" customWidth="1"/>
    <col min="7683" max="7683" width="55.42578125" style="52" customWidth="1"/>
    <col min="7684" max="7684" width="17.140625" style="52" customWidth="1"/>
    <col min="7685" max="7685" width="20.28515625" style="52" customWidth="1"/>
    <col min="7686" max="7686" width="27.7109375" style="52" customWidth="1"/>
    <col min="7687" max="7687" width="57.85546875" style="52" customWidth="1"/>
    <col min="7688" max="7688" width="8.7109375" style="52" customWidth="1"/>
    <col min="7689" max="7936" width="8.85546875" style="52"/>
    <col min="7937" max="7937" width="7.140625" style="52" customWidth="1"/>
    <col min="7938" max="7938" width="9.140625" style="52" customWidth="1"/>
    <col min="7939" max="7939" width="55.42578125" style="52" customWidth="1"/>
    <col min="7940" max="7940" width="17.140625" style="52" customWidth="1"/>
    <col min="7941" max="7941" width="20.28515625" style="52" customWidth="1"/>
    <col min="7942" max="7942" width="27.7109375" style="52" customWidth="1"/>
    <col min="7943" max="7943" width="57.85546875" style="52" customWidth="1"/>
    <col min="7944" max="7944" width="8.7109375" style="52" customWidth="1"/>
    <col min="7945" max="8192" width="8.85546875" style="52"/>
    <col min="8193" max="8193" width="7.140625" style="52" customWidth="1"/>
    <col min="8194" max="8194" width="9.140625" style="52" customWidth="1"/>
    <col min="8195" max="8195" width="55.42578125" style="52" customWidth="1"/>
    <col min="8196" max="8196" width="17.140625" style="52" customWidth="1"/>
    <col min="8197" max="8197" width="20.28515625" style="52" customWidth="1"/>
    <col min="8198" max="8198" width="27.7109375" style="52" customWidth="1"/>
    <col min="8199" max="8199" width="57.85546875" style="52" customWidth="1"/>
    <col min="8200" max="8200" width="8.7109375" style="52" customWidth="1"/>
    <col min="8201" max="8448" width="8.85546875" style="52"/>
    <col min="8449" max="8449" width="7.140625" style="52" customWidth="1"/>
    <col min="8450" max="8450" width="9.140625" style="52" customWidth="1"/>
    <col min="8451" max="8451" width="55.42578125" style="52" customWidth="1"/>
    <col min="8452" max="8452" width="17.140625" style="52" customWidth="1"/>
    <col min="8453" max="8453" width="20.28515625" style="52" customWidth="1"/>
    <col min="8454" max="8454" width="27.7109375" style="52" customWidth="1"/>
    <col min="8455" max="8455" width="57.85546875" style="52" customWidth="1"/>
    <col min="8456" max="8456" width="8.7109375" style="52" customWidth="1"/>
    <col min="8457" max="8704" width="8.85546875" style="52"/>
    <col min="8705" max="8705" width="7.140625" style="52" customWidth="1"/>
    <col min="8706" max="8706" width="9.140625" style="52" customWidth="1"/>
    <col min="8707" max="8707" width="55.42578125" style="52" customWidth="1"/>
    <col min="8708" max="8708" width="17.140625" style="52" customWidth="1"/>
    <col min="8709" max="8709" width="20.28515625" style="52" customWidth="1"/>
    <col min="8710" max="8710" width="27.7109375" style="52" customWidth="1"/>
    <col min="8711" max="8711" width="57.85546875" style="52" customWidth="1"/>
    <col min="8712" max="8712" width="8.7109375" style="52" customWidth="1"/>
    <col min="8713" max="8960" width="8.85546875" style="52"/>
    <col min="8961" max="8961" width="7.140625" style="52" customWidth="1"/>
    <col min="8962" max="8962" width="9.140625" style="52" customWidth="1"/>
    <col min="8963" max="8963" width="55.42578125" style="52" customWidth="1"/>
    <col min="8964" max="8964" width="17.140625" style="52" customWidth="1"/>
    <col min="8965" max="8965" width="20.28515625" style="52" customWidth="1"/>
    <col min="8966" max="8966" width="27.7109375" style="52" customWidth="1"/>
    <col min="8967" max="8967" width="57.85546875" style="52" customWidth="1"/>
    <col min="8968" max="8968" width="8.7109375" style="52" customWidth="1"/>
    <col min="8969" max="9216" width="8.85546875" style="52"/>
    <col min="9217" max="9217" width="7.140625" style="52" customWidth="1"/>
    <col min="9218" max="9218" width="9.140625" style="52" customWidth="1"/>
    <col min="9219" max="9219" width="55.42578125" style="52" customWidth="1"/>
    <col min="9220" max="9220" width="17.140625" style="52" customWidth="1"/>
    <col min="9221" max="9221" width="20.28515625" style="52" customWidth="1"/>
    <col min="9222" max="9222" width="27.7109375" style="52" customWidth="1"/>
    <col min="9223" max="9223" width="57.85546875" style="52" customWidth="1"/>
    <col min="9224" max="9224" width="8.7109375" style="52" customWidth="1"/>
    <col min="9225" max="9472" width="8.85546875" style="52"/>
    <col min="9473" max="9473" width="7.140625" style="52" customWidth="1"/>
    <col min="9474" max="9474" width="9.140625" style="52" customWidth="1"/>
    <col min="9475" max="9475" width="55.42578125" style="52" customWidth="1"/>
    <col min="9476" max="9476" width="17.140625" style="52" customWidth="1"/>
    <col min="9477" max="9477" width="20.28515625" style="52" customWidth="1"/>
    <col min="9478" max="9478" width="27.7109375" style="52" customWidth="1"/>
    <col min="9479" max="9479" width="57.85546875" style="52" customWidth="1"/>
    <col min="9480" max="9480" width="8.7109375" style="52" customWidth="1"/>
    <col min="9481" max="9728" width="8.85546875" style="52"/>
    <col min="9729" max="9729" width="7.140625" style="52" customWidth="1"/>
    <col min="9730" max="9730" width="9.140625" style="52" customWidth="1"/>
    <col min="9731" max="9731" width="55.42578125" style="52" customWidth="1"/>
    <col min="9732" max="9732" width="17.140625" style="52" customWidth="1"/>
    <col min="9733" max="9733" width="20.28515625" style="52" customWidth="1"/>
    <col min="9734" max="9734" width="27.7109375" style="52" customWidth="1"/>
    <col min="9735" max="9735" width="57.85546875" style="52" customWidth="1"/>
    <col min="9736" max="9736" width="8.7109375" style="52" customWidth="1"/>
    <col min="9737" max="9984" width="8.85546875" style="52"/>
    <col min="9985" max="9985" width="7.140625" style="52" customWidth="1"/>
    <col min="9986" max="9986" width="9.140625" style="52" customWidth="1"/>
    <col min="9987" max="9987" width="55.42578125" style="52" customWidth="1"/>
    <col min="9988" max="9988" width="17.140625" style="52" customWidth="1"/>
    <col min="9989" max="9989" width="20.28515625" style="52" customWidth="1"/>
    <col min="9990" max="9990" width="27.7109375" style="52" customWidth="1"/>
    <col min="9991" max="9991" width="57.85546875" style="52" customWidth="1"/>
    <col min="9992" max="9992" width="8.7109375" style="52" customWidth="1"/>
    <col min="9993" max="10240" width="8.85546875" style="52"/>
    <col min="10241" max="10241" width="7.140625" style="52" customWidth="1"/>
    <col min="10242" max="10242" width="9.140625" style="52" customWidth="1"/>
    <col min="10243" max="10243" width="55.42578125" style="52" customWidth="1"/>
    <col min="10244" max="10244" width="17.140625" style="52" customWidth="1"/>
    <col min="10245" max="10245" width="20.28515625" style="52" customWidth="1"/>
    <col min="10246" max="10246" width="27.7109375" style="52" customWidth="1"/>
    <col min="10247" max="10247" width="57.85546875" style="52" customWidth="1"/>
    <col min="10248" max="10248" width="8.7109375" style="52" customWidth="1"/>
    <col min="10249" max="10496" width="8.85546875" style="52"/>
    <col min="10497" max="10497" width="7.140625" style="52" customWidth="1"/>
    <col min="10498" max="10498" width="9.140625" style="52" customWidth="1"/>
    <col min="10499" max="10499" width="55.42578125" style="52" customWidth="1"/>
    <col min="10500" max="10500" width="17.140625" style="52" customWidth="1"/>
    <col min="10501" max="10501" width="20.28515625" style="52" customWidth="1"/>
    <col min="10502" max="10502" width="27.7109375" style="52" customWidth="1"/>
    <col min="10503" max="10503" width="57.85546875" style="52" customWidth="1"/>
    <col min="10504" max="10504" width="8.7109375" style="52" customWidth="1"/>
    <col min="10505" max="10752" width="8.85546875" style="52"/>
    <col min="10753" max="10753" width="7.140625" style="52" customWidth="1"/>
    <col min="10754" max="10754" width="9.140625" style="52" customWidth="1"/>
    <col min="10755" max="10755" width="55.42578125" style="52" customWidth="1"/>
    <col min="10756" max="10756" width="17.140625" style="52" customWidth="1"/>
    <col min="10757" max="10757" width="20.28515625" style="52" customWidth="1"/>
    <col min="10758" max="10758" width="27.7109375" style="52" customWidth="1"/>
    <col min="10759" max="10759" width="57.85546875" style="52" customWidth="1"/>
    <col min="10760" max="10760" width="8.7109375" style="52" customWidth="1"/>
    <col min="10761" max="11008" width="8.85546875" style="52"/>
    <col min="11009" max="11009" width="7.140625" style="52" customWidth="1"/>
    <col min="11010" max="11010" width="9.140625" style="52" customWidth="1"/>
    <col min="11011" max="11011" width="55.42578125" style="52" customWidth="1"/>
    <col min="11012" max="11012" width="17.140625" style="52" customWidth="1"/>
    <col min="11013" max="11013" width="20.28515625" style="52" customWidth="1"/>
    <col min="11014" max="11014" width="27.7109375" style="52" customWidth="1"/>
    <col min="11015" max="11015" width="57.85546875" style="52" customWidth="1"/>
    <col min="11016" max="11016" width="8.7109375" style="52" customWidth="1"/>
    <col min="11017" max="11264" width="8.85546875" style="52"/>
    <col min="11265" max="11265" width="7.140625" style="52" customWidth="1"/>
    <col min="11266" max="11266" width="9.140625" style="52" customWidth="1"/>
    <col min="11267" max="11267" width="55.42578125" style="52" customWidth="1"/>
    <col min="11268" max="11268" width="17.140625" style="52" customWidth="1"/>
    <col min="11269" max="11269" width="20.28515625" style="52" customWidth="1"/>
    <col min="11270" max="11270" width="27.7109375" style="52" customWidth="1"/>
    <col min="11271" max="11271" width="57.85546875" style="52" customWidth="1"/>
    <col min="11272" max="11272" width="8.7109375" style="52" customWidth="1"/>
    <col min="11273" max="11520" width="8.85546875" style="52"/>
    <col min="11521" max="11521" width="7.140625" style="52" customWidth="1"/>
    <col min="11522" max="11522" width="9.140625" style="52" customWidth="1"/>
    <col min="11523" max="11523" width="55.42578125" style="52" customWidth="1"/>
    <col min="11524" max="11524" width="17.140625" style="52" customWidth="1"/>
    <col min="11525" max="11525" width="20.28515625" style="52" customWidth="1"/>
    <col min="11526" max="11526" width="27.7109375" style="52" customWidth="1"/>
    <col min="11527" max="11527" width="57.85546875" style="52" customWidth="1"/>
    <col min="11528" max="11528" width="8.7109375" style="52" customWidth="1"/>
    <col min="11529" max="11776" width="8.85546875" style="52"/>
    <col min="11777" max="11777" width="7.140625" style="52" customWidth="1"/>
    <col min="11778" max="11778" width="9.140625" style="52" customWidth="1"/>
    <col min="11779" max="11779" width="55.42578125" style="52" customWidth="1"/>
    <col min="11780" max="11780" width="17.140625" style="52" customWidth="1"/>
    <col min="11781" max="11781" width="20.28515625" style="52" customWidth="1"/>
    <col min="11782" max="11782" width="27.7109375" style="52" customWidth="1"/>
    <col min="11783" max="11783" width="57.85546875" style="52" customWidth="1"/>
    <col min="11784" max="11784" width="8.7109375" style="52" customWidth="1"/>
    <col min="11785" max="12032" width="8.85546875" style="52"/>
    <col min="12033" max="12033" width="7.140625" style="52" customWidth="1"/>
    <col min="12034" max="12034" width="9.140625" style="52" customWidth="1"/>
    <col min="12035" max="12035" width="55.42578125" style="52" customWidth="1"/>
    <col min="12036" max="12036" width="17.140625" style="52" customWidth="1"/>
    <col min="12037" max="12037" width="20.28515625" style="52" customWidth="1"/>
    <col min="12038" max="12038" width="27.7109375" style="52" customWidth="1"/>
    <col min="12039" max="12039" width="57.85546875" style="52" customWidth="1"/>
    <col min="12040" max="12040" width="8.7109375" style="52" customWidth="1"/>
    <col min="12041" max="12288" width="8.85546875" style="52"/>
    <col min="12289" max="12289" width="7.140625" style="52" customWidth="1"/>
    <col min="12290" max="12290" width="9.140625" style="52" customWidth="1"/>
    <col min="12291" max="12291" width="55.42578125" style="52" customWidth="1"/>
    <col min="12292" max="12292" width="17.140625" style="52" customWidth="1"/>
    <col min="12293" max="12293" width="20.28515625" style="52" customWidth="1"/>
    <col min="12294" max="12294" width="27.7109375" style="52" customWidth="1"/>
    <col min="12295" max="12295" width="57.85546875" style="52" customWidth="1"/>
    <col min="12296" max="12296" width="8.7109375" style="52" customWidth="1"/>
    <col min="12297" max="12544" width="8.85546875" style="52"/>
    <col min="12545" max="12545" width="7.140625" style="52" customWidth="1"/>
    <col min="12546" max="12546" width="9.140625" style="52" customWidth="1"/>
    <col min="12547" max="12547" width="55.42578125" style="52" customWidth="1"/>
    <col min="12548" max="12548" width="17.140625" style="52" customWidth="1"/>
    <col min="12549" max="12549" width="20.28515625" style="52" customWidth="1"/>
    <col min="12550" max="12550" width="27.7109375" style="52" customWidth="1"/>
    <col min="12551" max="12551" width="57.85546875" style="52" customWidth="1"/>
    <col min="12552" max="12552" width="8.7109375" style="52" customWidth="1"/>
    <col min="12553" max="12800" width="8.85546875" style="52"/>
    <col min="12801" max="12801" width="7.140625" style="52" customWidth="1"/>
    <col min="12802" max="12802" width="9.140625" style="52" customWidth="1"/>
    <col min="12803" max="12803" width="55.42578125" style="52" customWidth="1"/>
    <col min="12804" max="12804" width="17.140625" style="52" customWidth="1"/>
    <col min="12805" max="12805" width="20.28515625" style="52" customWidth="1"/>
    <col min="12806" max="12806" width="27.7109375" style="52" customWidth="1"/>
    <col min="12807" max="12807" width="57.85546875" style="52" customWidth="1"/>
    <col min="12808" max="12808" width="8.7109375" style="52" customWidth="1"/>
    <col min="12809" max="13056" width="8.85546875" style="52"/>
    <col min="13057" max="13057" width="7.140625" style="52" customWidth="1"/>
    <col min="13058" max="13058" width="9.140625" style="52" customWidth="1"/>
    <col min="13059" max="13059" width="55.42578125" style="52" customWidth="1"/>
    <col min="13060" max="13060" width="17.140625" style="52" customWidth="1"/>
    <col min="13061" max="13061" width="20.28515625" style="52" customWidth="1"/>
    <col min="13062" max="13062" width="27.7109375" style="52" customWidth="1"/>
    <col min="13063" max="13063" width="57.85546875" style="52" customWidth="1"/>
    <col min="13064" max="13064" width="8.7109375" style="52" customWidth="1"/>
    <col min="13065" max="13312" width="8.85546875" style="52"/>
    <col min="13313" max="13313" width="7.140625" style="52" customWidth="1"/>
    <col min="13314" max="13314" width="9.140625" style="52" customWidth="1"/>
    <col min="13315" max="13315" width="55.42578125" style="52" customWidth="1"/>
    <col min="13316" max="13316" width="17.140625" style="52" customWidth="1"/>
    <col min="13317" max="13317" width="20.28515625" style="52" customWidth="1"/>
    <col min="13318" max="13318" width="27.7109375" style="52" customWidth="1"/>
    <col min="13319" max="13319" width="57.85546875" style="52" customWidth="1"/>
    <col min="13320" max="13320" width="8.7109375" style="52" customWidth="1"/>
    <col min="13321" max="13568" width="8.85546875" style="52"/>
    <col min="13569" max="13569" width="7.140625" style="52" customWidth="1"/>
    <col min="13570" max="13570" width="9.140625" style="52" customWidth="1"/>
    <col min="13571" max="13571" width="55.42578125" style="52" customWidth="1"/>
    <col min="13572" max="13572" width="17.140625" style="52" customWidth="1"/>
    <col min="13573" max="13573" width="20.28515625" style="52" customWidth="1"/>
    <col min="13574" max="13574" width="27.7109375" style="52" customWidth="1"/>
    <col min="13575" max="13575" width="57.85546875" style="52" customWidth="1"/>
    <col min="13576" max="13576" width="8.7109375" style="52" customWidth="1"/>
    <col min="13577" max="13824" width="8.85546875" style="52"/>
    <col min="13825" max="13825" width="7.140625" style="52" customWidth="1"/>
    <col min="13826" max="13826" width="9.140625" style="52" customWidth="1"/>
    <col min="13827" max="13827" width="55.42578125" style="52" customWidth="1"/>
    <col min="13828" max="13828" width="17.140625" style="52" customWidth="1"/>
    <col min="13829" max="13829" width="20.28515625" style="52" customWidth="1"/>
    <col min="13830" max="13830" width="27.7109375" style="52" customWidth="1"/>
    <col min="13831" max="13831" width="57.85546875" style="52" customWidth="1"/>
    <col min="13832" max="13832" width="8.7109375" style="52" customWidth="1"/>
    <col min="13833" max="14080" width="8.85546875" style="52"/>
    <col min="14081" max="14081" width="7.140625" style="52" customWidth="1"/>
    <col min="14082" max="14082" width="9.140625" style="52" customWidth="1"/>
    <col min="14083" max="14083" width="55.42578125" style="52" customWidth="1"/>
    <col min="14084" max="14084" width="17.140625" style="52" customWidth="1"/>
    <col min="14085" max="14085" width="20.28515625" style="52" customWidth="1"/>
    <col min="14086" max="14086" width="27.7109375" style="52" customWidth="1"/>
    <col min="14087" max="14087" width="57.85546875" style="52" customWidth="1"/>
    <col min="14088" max="14088" width="8.7109375" style="52" customWidth="1"/>
    <col min="14089" max="14336" width="8.85546875" style="52"/>
    <col min="14337" max="14337" width="7.140625" style="52" customWidth="1"/>
    <col min="14338" max="14338" width="9.140625" style="52" customWidth="1"/>
    <col min="14339" max="14339" width="55.42578125" style="52" customWidth="1"/>
    <col min="14340" max="14340" width="17.140625" style="52" customWidth="1"/>
    <col min="14341" max="14341" width="20.28515625" style="52" customWidth="1"/>
    <col min="14342" max="14342" width="27.7109375" style="52" customWidth="1"/>
    <col min="14343" max="14343" width="57.85546875" style="52" customWidth="1"/>
    <col min="14344" max="14344" width="8.7109375" style="52" customWidth="1"/>
    <col min="14345" max="14592" width="8.85546875" style="52"/>
    <col min="14593" max="14593" width="7.140625" style="52" customWidth="1"/>
    <col min="14594" max="14594" width="9.140625" style="52" customWidth="1"/>
    <col min="14595" max="14595" width="55.42578125" style="52" customWidth="1"/>
    <col min="14596" max="14596" width="17.140625" style="52" customWidth="1"/>
    <col min="14597" max="14597" width="20.28515625" style="52" customWidth="1"/>
    <col min="14598" max="14598" width="27.7109375" style="52" customWidth="1"/>
    <col min="14599" max="14599" width="57.85546875" style="52" customWidth="1"/>
    <col min="14600" max="14600" width="8.7109375" style="52" customWidth="1"/>
    <col min="14601" max="14848" width="8.85546875" style="52"/>
    <col min="14849" max="14849" width="7.140625" style="52" customWidth="1"/>
    <col min="14850" max="14850" width="9.140625" style="52" customWidth="1"/>
    <col min="14851" max="14851" width="55.42578125" style="52" customWidth="1"/>
    <col min="14852" max="14852" width="17.140625" style="52" customWidth="1"/>
    <col min="14853" max="14853" width="20.28515625" style="52" customWidth="1"/>
    <col min="14854" max="14854" width="27.7109375" style="52" customWidth="1"/>
    <col min="14855" max="14855" width="57.85546875" style="52" customWidth="1"/>
    <col min="14856" max="14856" width="8.7109375" style="52" customWidth="1"/>
    <col min="14857" max="15104" width="8.85546875" style="52"/>
    <col min="15105" max="15105" width="7.140625" style="52" customWidth="1"/>
    <col min="15106" max="15106" width="9.140625" style="52" customWidth="1"/>
    <col min="15107" max="15107" width="55.42578125" style="52" customWidth="1"/>
    <col min="15108" max="15108" width="17.140625" style="52" customWidth="1"/>
    <col min="15109" max="15109" width="20.28515625" style="52" customWidth="1"/>
    <col min="15110" max="15110" width="27.7109375" style="52" customWidth="1"/>
    <col min="15111" max="15111" width="57.85546875" style="52" customWidth="1"/>
    <col min="15112" max="15112" width="8.7109375" style="52" customWidth="1"/>
    <col min="15113" max="15360" width="8.85546875" style="52"/>
    <col min="15361" max="15361" width="7.140625" style="52" customWidth="1"/>
    <col min="15362" max="15362" width="9.140625" style="52" customWidth="1"/>
    <col min="15363" max="15363" width="55.42578125" style="52" customWidth="1"/>
    <col min="15364" max="15364" width="17.140625" style="52" customWidth="1"/>
    <col min="15365" max="15365" width="20.28515625" style="52" customWidth="1"/>
    <col min="15366" max="15366" width="27.7109375" style="52" customWidth="1"/>
    <col min="15367" max="15367" width="57.85546875" style="52" customWidth="1"/>
    <col min="15368" max="15368" width="8.7109375" style="52" customWidth="1"/>
    <col min="15369" max="15616" width="8.85546875" style="52"/>
    <col min="15617" max="15617" width="7.140625" style="52" customWidth="1"/>
    <col min="15618" max="15618" width="9.140625" style="52" customWidth="1"/>
    <col min="15619" max="15619" width="55.42578125" style="52" customWidth="1"/>
    <col min="15620" max="15620" width="17.140625" style="52" customWidth="1"/>
    <col min="15621" max="15621" width="20.28515625" style="52" customWidth="1"/>
    <col min="15622" max="15622" width="27.7109375" style="52" customWidth="1"/>
    <col min="15623" max="15623" width="57.85546875" style="52" customWidth="1"/>
    <col min="15624" max="15624" width="8.7109375" style="52" customWidth="1"/>
    <col min="15625" max="15872" width="8.85546875" style="52"/>
    <col min="15873" max="15873" width="7.140625" style="52" customWidth="1"/>
    <col min="15874" max="15874" width="9.140625" style="52" customWidth="1"/>
    <col min="15875" max="15875" width="55.42578125" style="52" customWidth="1"/>
    <col min="15876" max="15876" width="17.140625" style="52" customWidth="1"/>
    <col min="15877" max="15877" width="20.28515625" style="52" customWidth="1"/>
    <col min="15878" max="15878" width="27.7109375" style="52" customWidth="1"/>
    <col min="15879" max="15879" width="57.85546875" style="52" customWidth="1"/>
    <col min="15880" max="15880" width="8.7109375" style="52" customWidth="1"/>
    <col min="15881" max="16128" width="8.85546875" style="52"/>
    <col min="16129" max="16129" width="7.140625" style="52" customWidth="1"/>
    <col min="16130" max="16130" width="9.140625" style="52" customWidth="1"/>
    <col min="16131" max="16131" width="55.42578125" style="52" customWidth="1"/>
    <col min="16132" max="16132" width="17.140625" style="52" customWidth="1"/>
    <col min="16133" max="16133" width="20.28515625" style="52" customWidth="1"/>
    <col min="16134" max="16134" width="27.7109375" style="52" customWidth="1"/>
    <col min="16135" max="16135" width="57.85546875" style="52" customWidth="1"/>
    <col min="16136" max="16136" width="8.7109375" style="52" customWidth="1"/>
    <col min="16137" max="16384" width="8.85546875" style="52"/>
  </cols>
  <sheetData>
    <row r="1" spans="1:8" s="42" customFormat="1">
      <c r="B1" s="43"/>
    </row>
    <row r="2" spans="1:8" s="42" customFormat="1">
      <c r="B2" s="315" t="s">
        <v>108</v>
      </c>
      <c r="C2" s="315"/>
      <c r="D2" s="315"/>
      <c r="E2" s="315"/>
      <c r="F2" s="315"/>
      <c r="G2" s="315"/>
    </row>
    <row r="3" spans="1:8" s="42" customFormat="1" ht="15.75">
      <c r="B3" s="44"/>
      <c r="C3" s="45"/>
      <c r="D3" s="45"/>
      <c r="E3" s="45"/>
      <c r="F3" s="45"/>
      <c r="G3" s="45"/>
    </row>
    <row r="4" spans="1:8" s="48" customFormat="1" ht="18" customHeight="1">
      <c r="A4" s="46"/>
      <c r="B4" s="316" t="s">
        <v>6</v>
      </c>
      <c r="C4" s="316"/>
      <c r="D4" s="317" t="s">
        <v>109</v>
      </c>
      <c r="E4" s="317"/>
      <c r="F4" s="317"/>
      <c r="G4" s="47" t="s">
        <v>110</v>
      </c>
      <c r="H4" s="46"/>
    </row>
    <row r="5" spans="1:8">
      <c r="B5" s="49" t="s">
        <v>9</v>
      </c>
      <c r="C5" s="50" t="s">
        <v>111</v>
      </c>
      <c r="D5" s="313" t="s">
        <v>112</v>
      </c>
      <c r="E5" s="313"/>
      <c r="F5" s="313"/>
      <c r="G5" s="51" t="s">
        <v>113</v>
      </c>
    </row>
    <row r="6" spans="1:8" ht="22.5">
      <c r="B6" s="49" t="s">
        <v>11</v>
      </c>
      <c r="C6" s="50" t="s">
        <v>12</v>
      </c>
      <c r="D6" s="318" t="s">
        <v>114</v>
      </c>
      <c r="E6" s="318"/>
      <c r="F6" s="318"/>
      <c r="G6" s="53" t="s">
        <v>115</v>
      </c>
    </row>
    <row r="7" spans="1:8" ht="33.75">
      <c r="B7" s="49" t="s">
        <v>13</v>
      </c>
      <c r="C7" s="50" t="s">
        <v>116</v>
      </c>
      <c r="D7" s="319" t="s">
        <v>117</v>
      </c>
      <c r="E7" s="319"/>
      <c r="F7" s="319"/>
      <c r="G7" s="53" t="s">
        <v>118</v>
      </c>
    </row>
    <row r="8" spans="1:8" ht="28.9" customHeight="1">
      <c r="B8" s="49" t="s">
        <v>15</v>
      </c>
      <c r="C8" s="54" t="s">
        <v>119</v>
      </c>
      <c r="D8" s="313" t="s">
        <v>120</v>
      </c>
      <c r="E8" s="313"/>
      <c r="F8" s="313"/>
      <c r="G8" s="53" t="s">
        <v>121</v>
      </c>
    </row>
    <row r="9" spans="1:8" ht="28.9" customHeight="1">
      <c r="B9" s="49" t="s">
        <v>17</v>
      </c>
      <c r="C9" s="54" t="s">
        <v>122</v>
      </c>
      <c r="D9" s="313" t="s">
        <v>123</v>
      </c>
      <c r="E9" s="313"/>
      <c r="F9" s="313"/>
      <c r="G9" s="53" t="s">
        <v>124</v>
      </c>
    </row>
    <row r="10" spans="1:8" ht="45">
      <c r="B10" s="49" t="s">
        <v>19</v>
      </c>
      <c r="C10" s="54" t="s">
        <v>125</v>
      </c>
      <c r="D10" s="313" t="s">
        <v>126</v>
      </c>
      <c r="E10" s="313"/>
      <c r="F10" s="313"/>
      <c r="G10" s="53" t="s">
        <v>127</v>
      </c>
    </row>
    <row r="11" spans="1:8" ht="50.65" customHeight="1">
      <c r="B11" s="49" t="s">
        <v>39</v>
      </c>
      <c r="C11" s="54" t="s">
        <v>128</v>
      </c>
      <c r="D11" s="313" t="s">
        <v>129</v>
      </c>
      <c r="E11" s="313"/>
      <c r="F11" s="313"/>
      <c r="G11" s="53" t="s">
        <v>130</v>
      </c>
    </row>
    <row r="12" spans="1:8" ht="45">
      <c r="B12" s="49" t="s">
        <v>131</v>
      </c>
      <c r="C12" s="54" t="s">
        <v>132</v>
      </c>
      <c r="D12" s="313" t="s">
        <v>133</v>
      </c>
      <c r="E12" s="313"/>
      <c r="F12" s="313"/>
      <c r="G12" s="53" t="s">
        <v>134</v>
      </c>
    </row>
    <row r="13" spans="1:8" ht="65.45" customHeight="1">
      <c r="B13" s="314" t="s">
        <v>135</v>
      </c>
      <c r="C13" s="314"/>
      <c r="D13" s="314"/>
      <c r="E13" s="314"/>
      <c r="F13" s="314"/>
      <c r="G13" s="314"/>
    </row>
    <row r="14" spans="1:8" ht="39.6" customHeight="1">
      <c r="B14" s="320" t="s">
        <v>136</v>
      </c>
      <c r="C14" s="320"/>
      <c r="D14" s="320"/>
      <c r="E14" s="320"/>
      <c r="F14" s="320"/>
      <c r="G14" s="320"/>
    </row>
    <row r="15" spans="1:8" ht="40.15" customHeight="1">
      <c r="B15" s="320" t="s">
        <v>137</v>
      </c>
      <c r="C15" s="320"/>
      <c r="D15" s="320"/>
      <c r="E15" s="320"/>
      <c r="F15" s="320"/>
      <c r="G15" s="320"/>
    </row>
    <row r="16" spans="1:8" ht="14.65" customHeight="1">
      <c r="B16" s="326" t="s">
        <v>138</v>
      </c>
      <c r="C16" s="326"/>
      <c r="D16" s="326"/>
      <c r="E16" s="326"/>
      <c r="F16" s="326"/>
      <c r="G16" s="326"/>
    </row>
    <row r="17" spans="1:8" s="56" customFormat="1" ht="12.4" customHeight="1">
      <c r="A17" s="55"/>
      <c r="B17" s="327" t="s">
        <v>139</v>
      </c>
      <c r="C17" s="327"/>
      <c r="D17" s="327"/>
      <c r="E17" s="327"/>
      <c r="F17" s="327"/>
      <c r="G17" s="327"/>
      <c r="H17" s="55"/>
    </row>
    <row r="18" spans="1:8" s="56" customFormat="1" ht="12.4" customHeight="1">
      <c r="A18" s="55"/>
      <c r="B18" s="327" t="s">
        <v>140</v>
      </c>
      <c r="C18" s="327"/>
      <c r="D18" s="327"/>
      <c r="E18" s="327"/>
      <c r="F18" s="327"/>
      <c r="G18" s="327"/>
      <c r="H18" s="55"/>
    </row>
    <row r="19" spans="1:8" ht="40.15" customHeight="1">
      <c r="B19" s="320" t="s">
        <v>141</v>
      </c>
      <c r="C19" s="320"/>
      <c r="D19" s="320"/>
      <c r="E19" s="320"/>
      <c r="F19" s="320"/>
      <c r="G19" s="320"/>
    </row>
    <row r="20" spans="1:8" ht="85.9" customHeight="1">
      <c r="B20" s="320" t="s">
        <v>142</v>
      </c>
      <c r="C20" s="320"/>
      <c r="D20" s="320"/>
      <c r="E20" s="320"/>
      <c r="F20" s="320"/>
      <c r="G20" s="320"/>
    </row>
    <row r="21" spans="1:8" ht="58.5" customHeight="1">
      <c r="B21" s="321" t="s">
        <v>143</v>
      </c>
      <c r="C21" s="321"/>
      <c r="D21" s="321"/>
      <c r="E21" s="321"/>
      <c r="F21" s="321"/>
      <c r="G21" s="321"/>
    </row>
    <row r="22" spans="1:8" s="42" customFormat="1" ht="15" customHeight="1">
      <c r="B22" s="57"/>
      <c r="C22" s="58"/>
      <c r="D22" s="58"/>
      <c r="E22" s="58"/>
      <c r="F22" s="58"/>
      <c r="G22" s="59"/>
    </row>
    <row r="23" spans="1:8" ht="18" customHeight="1">
      <c r="B23" s="322" t="s">
        <v>144</v>
      </c>
      <c r="C23" s="323"/>
      <c r="D23" s="60" t="s">
        <v>145</v>
      </c>
      <c r="E23" s="322" t="s">
        <v>109</v>
      </c>
      <c r="F23" s="323"/>
      <c r="G23" s="47" t="s">
        <v>110</v>
      </c>
    </row>
    <row r="24" spans="1:8" s="46" customFormat="1">
      <c r="B24" s="61" t="s">
        <v>9</v>
      </c>
      <c r="C24" s="62" t="s">
        <v>146</v>
      </c>
      <c r="D24" s="63">
        <f>1/12</f>
        <v>8.3333333333333329E-2</v>
      </c>
      <c r="E24" s="324" t="s">
        <v>147</v>
      </c>
      <c r="F24" s="325"/>
      <c r="G24" s="64" t="s">
        <v>148</v>
      </c>
    </row>
    <row r="25" spans="1:8" s="46" customFormat="1">
      <c r="B25" s="61" t="s">
        <v>11</v>
      </c>
      <c r="C25" s="62" t="s">
        <v>149</v>
      </c>
      <c r="D25" s="63">
        <f>D24*1/3</f>
        <v>2.7777777777777776E-2</v>
      </c>
      <c r="E25" s="324" t="s">
        <v>150</v>
      </c>
      <c r="F25" s="325"/>
      <c r="G25" s="64" t="s">
        <v>151</v>
      </c>
    </row>
    <row r="26" spans="1:8" s="46" customFormat="1">
      <c r="B26" s="61" t="s">
        <v>13</v>
      </c>
      <c r="C26" s="62" t="s">
        <v>152</v>
      </c>
      <c r="D26" s="63">
        <f>1/12</f>
        <v>8.3333333333333329E-2</v>
      </c>
      <c r="E26" s="324" t="s">
        <v>147</v>
      </c>
      <c r="F26" s="325"/>
      <c r="G26" s="64" t="s">
        <v>151</v>
      </c>
    </row>
    <row r="27" spans="1:8" s="48" customFormat="1" ht="18" customHeight="1">
      <c r="A27" s="46"/>
      <c r="B27" s="332" t="s">
        <v>153</v>
      </c>
      <c r="C27" s="333"/>
      <c r="D27" s="65">
        <f>SUM(D24:D26)</f>
        <v>0.19444444444444442</v>
      </c>
      <c r="E27" s="334"/>
      <c r="F27" s="335"/>
      <c r="G27" s="66"/>
      <c r="H27" s="46"/>
    </row>
    <row r="28" spans="1:8" s="42" customFormat="1" ht="21.6" customHeight="1">
      <c r="B28" s="336" t="s">
        <v>154</v>
      </c>
      <c r="C28" s="336"/>
      <c r="D28" s="336"/>
      <c r="E28" s="336"/>
      <c r="F28" s="336"/>
      <c r="G28" s="336"/>
    </row>
    <row r="29" spans="1:8" s="42" customFormat="1" ht="15" customHeight="1">
      <c r="B29" s="337" t="s">
        <v>155</v>
      </c>
      <c r="C29" s="338"/>
      <c r="D29" s="338"/>
      <c r="E29" s="338"/>
      <c r="F29" s="338"/>
      <c r="G29" s="339"/>
    </row>
    <row r="30" spans="1:8" s="42" customFormat="1">
      <c r="B30" s="340"/>
      <c r="C30" s="341"/>
      <c r="D30" s="341"/>
      <c r="E30" s="341"/>
      <c r="F30" s="341"/>
      <c r="G30" s="342"/>
    </row>
    <row r="31" spans="1:8" s="42" customFormat="1" ht="72" customHeight="1">
      <c r="B31" s="336" t="s">
        <v>156</v>
      </c>
      <c r="C31" s="336"/>
      <c r="D31" s="336"/>
      <c r="E31" s="336"/>
      <c r="F31" s="336"/>
      <c r="G31" s="336"/>
    </row>
    <row r="32" spans="1:8">
      <c r="B32" s="67"/>
      <c r="C32" s="68"/>
      <c r="D32" s="69"/>
      <c r="E32" s="69"/>
      <c r="F32" s="69"/>
      <c r="G32" s="70"/>
    </row>
    <row r="33" spans="1:8" ht="18" customHeight="1">
      <c r="B33" s="322" t="s">
        <v>157</v>
      </c>
      <c r="C33" s="323"/>
      <c r="D33" s="47" t="s">
        <v>145</v>
      </c>
      <c r="E33" s="322" t="s">
        <v>110</v>
      </c>
      <c r="F33" s="328"/>
      <c r="G33" s="323"/>
    </row>
    <row r="34" spans="1:8" s="42" customFormat="1">
      <c r="B34" s="61" t="s">
        <v>9</v>
      </c>
      <c r="C34" s="62" t="s">
        <v>158</v>
      </c>
      <c r="D34" s="63">
        <v>0.2</v>
      </c>
      <c r="E34" s="329" t="s">
        <v>159</v>
      </c>
      <c r="F34" s="330"/>
      <c r="G34" s="331"/>
    </row>
    <row r="35" spans="1:8" s="42" customFormat="1" ht="23.65" customHeight="1">
      <c r="B35" s="49" t="s">
        <v>11</v>
      </c>
      <c r="C35" s="50" t="s">
        <v>34</v>
      </c>
      <c r="D35" s="71">
        <v>2.5000000000000001E-2</v>
      </c>
      <c r="E35" s="329" t="s">
        <v>160</v>
      </c>
      <c r="F35" s="330"/>
      <c r="G35" s="331"/>
    </row>
    <row r="36" spans="1:8" s="42" customFormat="1" ht="23.65" customHeight="1">
      <c r="B36" s="49" t="s">
        <v>13</v>
      </c>
      <c r="C36" s="72" t="s">
        <v>161</v>
      </c>
      <c r="D36" s="71">
        <v>0.03</v>
      </c>
      <c r="E36" s="329" t="s">
        <v>162</v>
      </c>
      <c r="F36" s="330"/>
      <c r="G36" s="331"/>
    </row>
    <row r="37" spans="1:8" ht="12.4" customHeight="1">
      <c r="B37" s="49" t="s">
        <v>15</v>
      </c>
      <c r="C37" s="50" t="s">
        <v>36</v>
      </c>
      <c r="D37" s="71">
        <v>1.4999999999999999E-2</v>
      </c>
      <c r="E37" s="329" t="s">
        <v>163</v>
      </c>
      <c r="F37" s="330"/>
      <c r="G37" s="331"/>
    </row>
    <row r="38" spans="1:8" ht="12.4" customHeight="1">
      <c r="B38" s="49" t="s">
        <v>17</v>
      </c>
      <c r="C38" s="50" t="s">
        <v>164</v>
      </c>
      <c r="D38" s="71">
        <v>0.01</v>
      </c>
      <c r="E38" s="329" t="s">
        <v>165</v>
      </c>
      <c r="F38" s="330"/>
      <c r="G38" s="331"/>
    </row>
    <row r="39" spans="1:8" ht="12.4" customHeight="1">
      <c r="B39" s="49" t="s">
        <v>19</v>
      </c>
      <c r="C39" s="50" t="s">
        <v>38</v>
      </c>
      <c r="D39" s="71">
        <v>6.0000000000000001E-3</v>
      </c>
      <c r="E39" s="329" t="s">
        <v>166</v>
      </c>
      <c r="F39" s="330"/>
      <c r="G39" s="331"/>
    </row>
    <row r="40" spans="1:8" ht="12.4" customHeight="1">
      <c r="B40" s="49" t="s">
        <v>39</v>
      </c>
      <c r="C40" s="50" t="s">
        <v>40</v>
      </c>
      <c r="D40" s="71">
        <v>2E-3</v>
      </c>
      <c r="E40" s="329" t="s">
        <v>167</v>
      </c>
      <c r="F40" s="330"/>
      <c r="G40" s="331"/>
    </row>
    <row r="41" spans="1:8" ht="12.4" customHeight="1">
      <c r="B41" s="49" t="s">
        <v>41</v>
      </c>
      <c r="C41" s="50" t="s">
        <v>42</v>
      </c>
      <c r="D41" s="71">
        <v>0.08</v>
      </c>
      <c r="E41" s="329" t="s">
        <v>168</v>
      </c>
      <c r="F41" s="330"/>
      <c r="G41" s="331"/>
    </row>
    <row r="42" spans="1:8" ht="14.65" customHeight="1">
      <c r="B42" s="49" t="s">
        <v>131</v>
      </c>
      <c r="C42" s="73" t="s">
        <v>169</v>
      </c>
      <c r="D42" s="74">
        <v>0</v>
      </c>
      <c r="E42" s="329" t="s">
        <v>170</v>
      </c>
      <c r="F42" s="330"/>
      <c r="G42" s="331"/>
    </row>
    <row r="43" spans="1:8" ht="12.4" customHeight="1">
      <c r="B43" s="354" t="s">
        <v>171</v>
      </c>
      <c r="C43" s="354"/>
      <c r="D43" s="75">
        <f>SUM(D34:D42)</f>
        <v>0.36800000000000005</v>
      </c>
      <c r="E43" s="355"/>
      <c r="F43" s="356"/>
      <c r="G43" s="357"/>
    </row>
    <row r="44" spans="1:8" s="77" customFormat="1" ht="15">
      <c r="A44" s="76"/>
      <c r="B44" s="343" t="s">
        <v>172</v>
      </c>
      <c r="C44" s="344"/>
      <c r="D44" s="344"/>
      <c r="E44" s="344"/>
      <c r="F44" s="344"/>
      <c r="G44" s="345"/>
      <c r="H44" s="76"/>
    </row>
    <row r="45" spans="1:8" ht="30" customHeight="1">
      <c r="B45" s="346" t="s">
        <v>173</v>
      </c>
      <c r="C45" s="346"/>
      <c r="D45" s="346"/>
      <c r="E45" s="346"/>
      <c r="F45" s="346"/>
      <c r="G45" s="346"/>
    </row>
    <row r="46" spans="1:8" ht="67.5" customHeight="1">
      <c r="B46" s="347" t="s">
        <v>174</v>
      </c>
      <c r="C46" s="348"/>
      <c r="D46" s="348"/>
      <c r="E46" s="348"/>
      <c r="F46" s="348"/>
      <c r="G46" s="349"/>
    </row>
    <row r="47" spans="1:8" ht="34.9" customHeight="1">
      <c r="B47" s="337" t="s">
        <v>175</v>
      </c>
      <c r="C47" s="350"/>
      <c r="D47" s="350"/>
      <c r="E47" s="350"/>
      <c r="F47" s="350"/>
      <c r="G47" s="351"/>
    </row>
    <row r="48" spans="1:8" ht="45.6" customHeight="1">
      <c r="B48" s="340" t="s">
        <v>176</v>
      </c>
      <c r="C48" s="352"/>
      <c r="D48" s="352"/>
      <c r="E48" s="352"/>
      <c r="F48" s="352"/>
      <c r="G48" s="353"/>
    </row>
    <row r="49" spans="1:8" ht="116.25" customHeight="1">
      <c r="B49" s="340" t="s">
        <v>177</v>
      </c>
      <c r="C49" s="352"/>
      <c r="D49" s="352"/>
      <c r="E49" s="352"/>
      <c r="F49" s="352"/>
      <c r="G49" s="353"/>
    </row>
    <row r="50" spans="1:8">
      <c r="B50" s="78"/>
      <c r="C50" s="70"/>
      <c r="D50" s="70"/>
      <c r="E50" s="70"/>
      <c r="F50" s="70"/>
      <c r="G50" s="70"/>
    </row>
    <row r="51" spans="1:8" s="48" customFormat="1" ht="18" customHeight="1">
      <c r="A51" s="46"/>
      <c r="B51" s="360" t="s">
        <v>178</v>
      </c>
      <c r="C51" s="361"/>
      <c r="D51" s="362"/>
      <c r="E51" s="322" t="s">
        <v>110</v>
      </c>
      <c r="F51" s="328"/>
      <c r="G51" s="323"/>
      <c r="H51" s="46"/>
    </row>
    <row r="52" spans="1:8">
      <c r="B52" s="49" t="s">
        <v>9</v>
      </c>
      <c r="C52" s="363" t="s">
        <v>179</v>
      </c>
      <c r="D52" s="364"/>
      <c r="E52" s="79" t="s">
        <v>180</v>
      </c>
      <c r="F52" s="80"/>
      <c r="G52" s="81"/>
    </row>
    <row r="53" spans="1:8">
      <c r="B53" s="49" t="s">
        <v>11</v>
      </c>
      <c r="C53" s="82" t="s">
        <v>181</v>
      </c>
      <c r="D53" s="83"/>
      <c r="E53" s="84" t="s">
        <v>182</v>
      </c>
      <c r="F53" s="85"/>
      <c r="G53" s="86"/>
    </row>
    <row r="54" spans="1:8">
      <c r="B54" s="49" t="s">
        <v>13</v>
      </c>
      <c r="C54" s="82" t="s">
        <v>183</v>
      </c>
      <c r="D54" s="83"/>
      <c r="E54" s="84" t="s">
        <v>184</v>
      </c>
      <c r="F54" s="85"/>
      <c r="G54" s="86"/>
    </row>
    <row r="55" spans="1:8">
      <c r="B55" s="87" t="s">
        <v>15</v>
      </c>
      <c r="C55" s="88" t="s">
        <v>50</v>
      </c>
      <c r="D55" s="89"/>
      <c r="E55" s="84" t="s">
        <v>184</v>
      </c>
      <c r="F55" s="90"/>
      <c r="G55" s="91"/>
    </row>
    <row r="56" spans="1:8">
      <c r="B56" s="87" t="s">
        <v>17</v>
      </c>
      <c r="C56" s="88" t="s">
        <v>51</v>
      </c>
      <c r="D56" s="89"/>
      <c r="E56" s="84" t="s">
        <v>184</v>
      </c>
      <c r="F56" s="90"/>
      <c r="G56" s="91"/>
    </row>
    <row r="57" spans="1:8" ht="28.5" customHeight="1">
      <c r="B57" s="365" t="s">
        <v>185</v>
      </c>
      <c r="C57" s="366"/>
      <c r="D57" s="366"/>
      <c r="E57" s="366"/>
      <c r="F57" s="366"/>
      <c r="G57" s="367"/>
    </row>
    <row r="58" spans="1:8">
      <c r="B58" s="78"/>
      <c r="C58" s="70"/>
      <c r="D58" s="70"/>
      <c r="E58" s="70"/>
      <c r="F58" s="70"/>
      <c r="G58" s="70"/>
    </row>
    <row r="59" spans="1:8" ht="18" customHeight="1">
      <c r="B59" s="322" t="s">
        <v>56</v>
      </c>
      <c r="C59" s="323"/>
      <c r="D59" s="92" t="s">
        <v>145</v>
      </c>
      <c r="E59" s="322" t="s">
        <v>109</v>
      </c>
      <c r="F59" s="323"/>
      <c r="G59" s="47" t="s">
        <v>110</v>
      </c>
    </row>
    <row r="60" spans="1:8">
      <c r="B60" s="93" t="s">
        <v>9</v>
      </c>
      <c r="C60" s="94" t="s">
        <v>186</v>
      </c>
      <c r="D60" s="95">
        <f>((1/12)* 0.05)</f>
        <v>4.1666666666666666E-3</v>
      </c>
      <c r="E60" s="358" t="s">
        <v>187</v>
      </c>
      <c r="F60" s="359"/>
      <c r="G60" s="96" t="s">
        <v>188</v>
      </c>
    </row>
    <row r="61" spans="1:8" ht="12.4" customHeight="1">
      <c r="B61" s="93" t="s">
        <v>11</v>
      </c>
      <c r="C61" s="94" t="s">
        <v>59</v>
      </c>
      <c r="D61" s="95">
        <f>D41*D60</f>
        <v>3.3333333333333332E-4</v>
      </c>
      <c r="E61" s="358" t="s">
        <v>189</v>
      </c>
      <c r="F61" s="359"/>
      <c r="G61" s="96" t="s">
        <v>190</v>
      </c>
      <c r="H61" s="97"/>
    </row>
    <row r="62" spans="1:8" s="42" customFormat="1">
      <c r="B62" s="98" t="s">
        <v>13</v>
      </c>
      <c r="C62" s="99" t="s">
        <v>191</v>
      </c>
      <c r="D62" s="100">
        <f>(0.08)*(0.4)*(0.9)*(1+(1/12)+(1/12)+(1/3*1/12))</f>
        <v>3.4399999999999993E-2</v>
      </c>
      <c r="E62" s="101" t="s">
        <v>192</v>
      </c>
      <c r="F62" s="102"/>
      <c r="G62" s="96" t="s">
        <v>193</v>
      </c>
    </row>
    <row r="63" spans="1:8" ht="33.75">
      <c r="B63" s="93" t="s">
        <v>15</v>
      </c>
      <c r="C63" s="94" t="s">
        <v>60</v>
      </c>
      <c r="D63" s="95">
        <f>(7/30)/12</f>
        <v>1.9444444444444445E-2</v>
      </c>
      <c r="E63" s="358" t="s">
        <v>194</v>
      </c>
      <c r="F63" s="359"/>
      <c r="G63" s="96" t="s">
        <v>195</v>
      </c>
    </row>
    <row r="64" spans="1:8">
      <c r="B64" s="103" t="s">
        <v>196</v>
      </c>
      <c r="C64" s="104" t="s">
        <v>197</v>
      </c>
      <c r="D64" s="105">
        <f>((7/30)*0.1)/12</f>
        <v>1.9444444444444446E-3</v>
      </c>
      <c r="E64" s="358" t="s">
        <v>198</v>
      </c>
      <c r="F64" s="359"/>
      <c r="G64" s="96" t="s">
        <v>199</v>
      </c>
    </row>
    <row r="65" spans="2:7">
      <c r="B65" s="93" t="s">
        <v>17</v>
      </c>
      <c r="C65" s="94" t="s">
        <v>61</v>
      </c>
      <c r="D65" s="95">
        <f>D63*D43</f>
        <v>7.1555555555555565E-3</v>
      </c>
      <c r="E65" s="358" t="s">
        <v>200</v>
      </c>
      <c r="F65" s="359"/>
      <c r="G65" s="96" t="s">
        <v>190</v>
      </c>
    </row>
    <row r="66" spans="2:7">
      <c r="B66" s="103" t="s">
        <v>201</v>
      </c>
      <c r="C66" s="104" t="s">
        <v>202</v>
      </c>
      <c r="D66" s="105">
        <f>D64*D43</f>
        <v>7.1555555555555576E-4</v>
      </c>
      <c r="E66" s="358" t="s">
        <v>203</v>
      </c>
      <c r="F66" s="359"/>
      <c r="G66" s="96" t="s">
        <v>190</v>
      </c>
    </row>
    <row r="67" spans="2:7">
      <c r="B67" s="93" t="s">
        <v>19</v>
      </c>
      <c r="C67" s="99" t="s">
        <v>204</v>
      </c>
      <c r="D67" s="100">
        <f>(D63*D41)*0.4</f>
        <v>6.2222222222222236E-4</v>
      </c>
      <c r="E67" s="358" t="s">
        <v>205</v>
      </c>
      <c r="F67" s="359"/>
      <c r="G67" s="96" t="s">
        <v>193</v>
      </c>
    </row>
    <row r="68" spans="2:7">
      <c r="B68" s="103" t="s">
        <v>206</v>
      </c>
      <c r="C68" s="104" t="s">
        <v>207</v>
      </c>
      <c r="D68" s="105">
        <f>(D64*D41)*0.4</f>
        <v>6.2222222222222233E-5</v>
      </c>
      <c r="E68" s="358" t="s">
        <v>205</v>
      </c>
      <c r="F68" s="359"/>
      <c r="G68" s="96" t="s">
        <v>193</v>
      </c>
    </row>
    <row r="69" spans="2:7" ht="12.4" customHeight="1">
      <c r="B69" s="377" t="s">
        <v>208</v>
      </c>
      <c r="C69" s="377"/>
      <c r="D69" s="106">
        <f>D60+D61+D62+D63+D65+D67</f>
        <v>6.6122222222222207E-2</v>
      </c>
      <c r="E69" s="107" t="s">
        <v>209</v>
      </c>
      <c r="F69" s="108"/>
      <c r="G69" s="109"/>
    </row>
    <row r="70" spans="2:7" ht="12.4" customHeight="1">
      <c r="B70" s="378" t="s">
        <v>210</v>
      </c>
      <c r="C70" s="378"/>
      <c r="D70" s="106">
        <f>+D60+D61+D62+D64+D66+D68</f>
        <v>4.1622222222222206E-2</v>
      </c>
      <c r="E70" s="379" t="s">
        <v>211</v>
      </c>
      <c r="F70" s="380"/>
      <c r="G70" s="110"/>
    </row>
    <row r="71" spans="2:7" ht="31.5" customHeight="1">
      <c r="B71" s="381" t="s">
        <v>212</v>
      </c>
      <c r="C71" s="382"/>
      <c r="D71" s="382"/>
      <c r="E71" s="382"/>
      <c r="F71" s="382"/>
      <c r="G71" s="383"/>
    </row>
    <row r="72" spans="2:7" s="42" customFormat="1" ht="53.25" customHeight="1">
      <c r="B72" s="368" t="s">
        <v>213</v>
      </c>
      <c r="C72" s="369"/>
      <c r="D72" s="369"/>
      <c r="E72" s="369"/>
      <c r="F72" s="369"/>
      <c r="G72" s="370"/>
    </row>
    <row r="73" spans="2:7" s="42" customFormat="1" ht="23.25" customHeight="1">
      <c r="B73" s="368" t="s">
        <v>214</v>
      </c>
      <c r="C73" s="369"/>
      <c r="D73" s="369"/>
      <c r="E73" s="369"/>
      <c r="F73" s="369"/>
      <c r="G73" s="370"/>
    </row>
    <row r="74" spans="2:7" ht="44.25" customHeight="1">
      <c r="B74" s="371" t="s">
        <v>215</v>
      </c>
      <c r="C74" s="372"/>
      <c r="D74" s="372"/>
      <c r="E74" s="372"/>
      <c r="F74" s="372"/>
      <c r="G74" s="373"/>
    </row>
    <row r="75" spans="2:7" ht="24" customHeight="1">
      <c r="B75" s="374" t="s">
        <v>216</v>
      </c>
      <c r="C75" s="375"/>
      <c r="D75" s="375"/>
      <c r="E75" s="375"/>
      <c r="F75" s="375"/>
      <c r="G75" s="376"/>
    </row>
    <row r="76" spans="2:7">
      <c r="B76" s="67"/>
      <c r="C76" s="111"/>
      <c r="D76" s="111"/>
      <c r="E76" s="111"/>
      <c r="F76" s="112"/>
      <c r="G76" s="112"/>
    </row>
    <row r="77" spans="2:7" ht="12.4" customHeight="1">
      <c r="B77" s="322" t="s">
        <v>62</v>
      </c>
      <c r="C77" s="323"/>
      <c r="D77" s="75" t="s">
        <v>145</v>
      </c>
      <c r="E77" s="317" t="s">
        <v>109</v>
      </c>
      <c r="F77" s="317"/>
      <c r="G77" s="47" t="s">
        <v>110</v>
      </c>
    </row>
    <row r="78" spans="2:7" s="42" customFormat="1">
      <c r="B78" s="61" t="s">
        <v>9</v>
      </c>
      <c r="C78" s="113" t="s">
        <v>217</v>
      </c>
      <c r="D78" s="63">
        <f>1/12</f>
        <v>8.3333333333333329E-2</v>
      </c>
      <c r="E78" s="324" t="s">
        <v>147</v>
      </c>
      <c r="F78" s="325"/>
      <c r="G78" s="64" t="s">
        <v>218</v>
      </c>
    </row>
    <row r="79" spans="2:7" s="42" customFormat="1">
      <c r="B79" s="49" t="s">
        <v>11</v>
      </c>
      <c r="C79" s="114" t="s">
        <v>219</v>
      </c>
      <c r="D79" s="71">
        <f>(3/30)/12</f>
        <v>8.3333333333333332E-3</v>
      </c>
      <c r="E79" s="384" t="s">
        <v>220</v>
      </c>
      <c r="F79" s="384"/>
      <c r="G79" s="115" t="s">
        <v>221</v>
      </c>
    </row>
    <row r="80" spans="2:7" s="42" customFormat="1" ht="22.5">
      <c r="B80" s="49" t="s">
        <v>13</v>
      </c>
      <c r="C80" s="114" t="s">
        <v>222</v>
      </c>
      <c r="D80" s="71">
        <f>(((5/30)/12)*0.015)</f>
        <v>2.0833333333333332E-4</v>
      </c>
      <c r="E80" s="384" t="s">
        <v>223</v>
      </c>
      <c r="F80" s="384"/>
      <c r="G80" s="116" t="s">
        <v>224</v>
      </c>
    </row>
    <row r="81" spans="2:13" s="42" customFormat="1">
      <c r="B81" s="49" t="s">
        <v>15</v>
      </c>
      <c r="C81" s="114" t="s">
        <v>225</v>
      </c>
      <c r="D81" s="71">
        <f>((30/30)/12)*0.0078</f>
        <v>6.4999999999999997E-4</v>
      </c>
      <c r="E81" s="384" t="s">
        <v>226</v>
      </c>
      <c r="F81" s="384"/>
      <c r="G81" s="115" t="s">
        <v>227</v>
      </c>
    </row>
    <row r="82" spans="2:13" ht="22.5">
      <c r="B82" s="87" t="s">
        <v>17</v>
      </c>
      <c r="C82" s="117" t="s">
        <v>228</v>
      </c>
      <c r="D82" s="74">
        <f>(0.1111)*(0.1781)*(0.5)</f>
        <v>9.8934550000000007E-3</v>
      </c>
      <c r="E82" s="394" t="s">
        <v>229</v>
      </c>
      <c r="F82" s="395"/>
      <c r="G82" s="118" t="s">
        <v>230</v>
      </c>
    </row>
    <row r="83" spans="2:13" ht="22.5">
      <c r="B83" s="49" t="s">
        <v>19</v>
      </c>
      <c r="C83" s="114" t="s">
        <v>231</v>
      </c>
      <c r="D83" s="71">
        <f>(5/30)/12</f>
        <v>1.3888888888888888E-2</v>
      </c>
      <c r="E83" s="384" t="s">
        <v>232</v>
      </c>
      <c r="F83" s="384"/>
      <c r="G83" s="116" t="s">
        <v>233</v>
      </c>
    </row>
    <row r="84" spans="2:13">
      <c r="B84" s="49" t="s">
        <v>39</v>
      </c>
      <c r="C84" s="54" t="s">
        <v>20</v>
      </c>
      <c r="D84" s="119">
        <v>0</v>
      </c>
      <c r="E84" s="384"/>
      <c r="F84" s="384"/>
      <c r="G84" s="116"/>
    </row>
    <row r="85" spans="2:13" ht="12.4" customHeight="1">
      <c r="B85" s="360" t="s">
        <v>344</v>
      </c>
      <c r="C85" s="362"/>
      <c r="D85" s="92">
        <f>SUM(D78:D84)</f>
        <v>0.11630734388888889</v>
      </c>
      <c r="E85" s="396"/>
      <c r="F85" s="397"/>
      <c r="G85" s="398"/>
    </row>
    <row r="86" spans="2:13" ht="25.5">
      <c r="B86" s="49" t="s">
        <v>41</v>
      </c>
      <c r="C86" s="54" t="s">
        <v>349</v>
      </c>
      <c r="D86" s="119">
        <f>($D$85-$D$82)*((1/12)+(1/12)+(1/12*1/3))</f>
        <v>2.0691589506172836E-2</v>
      </c>
      <c r="E86" s="399" t="s">
        <v>350</v>
      </c>
      <c r="F86" s="400"/>
      <c r="G86" s="401"/>
    </row>
    <row r="87" spans="2:13" ht="12.4" customHeight="1">
      <c r="B87" s="360" t="s">
        <v>345</v>
      </c>
      <c r="C87" s="362"/>
      <c r="D87" s="92">
        <f>D85+D86</f>
        <v>0.13699893339506172</v>
      </c>
      <c r="E87" s="396"/>
      <c r="F87" s="397"/>
      <c r="G87" s="398"/>
    </row>
    <row r="88" spans="2:13" ht="12.4" customHeight="1">
      <c r="B88" s="49" t="s">
        <v>131</v>
      </c>
      <c r="C88" s="54" t="s">
        <v>346</v>
      </c>
      <c r="D88" s="119">
        <f>D43*D87</f>
        <v>5.0415607489382723E-2</v>
      </c>
      <c r="E88" s="399" t="s">
        <v>351</v>
      </c>
      <c r="F88" s="400"/>
      <c r="G88" s="401"/>
    </row>
    <row r="89" spans="2:13" ht="12.4" customHeight="1">
      <c r="B89" s="360" t="s">
        <v>352</v>
      </c>
      <c r="C89" s="362"/>
      <c r="D89" s="92">
        <f>D87+D88</f>
        <v>0.18741454088444445</v>
      </c>
      <c r="E89" s="396"/>
      <c r="F89" s="397"/>
      <c r="G89" s="398"/>
    </row>
    <row r="90" spans="2:13" s="120" customFormat="1" ht="31.5" customHeight="1">
      <c r="B90" s="385" t="s">
        <v>234</v>
      </c>
      <c r="C90" s="386"/>
      <c r="D90" s="386"/>
      <c r="E90" s="386"/>
      <c r="F90" s="386"/>
      <c r="G90" s="387"/>
    </row>
    <row r="91" spans="2:13" s="120" customFormat="1">
      <c r="B91" s="388" t="s">
        <v>235</v>
      </c>
      <c r="C91" s="389"/>
      <c r="D91" s="389"/>
      <c r="E91" s="389"/>
      <c r="F91" s="389"/>
      <c r="G91" s="390"/>
      <c r="M91" s="121"/>
    </row>
    <row r="92" spans="2:13" s="120" customFormat="1">
      <c r="B92" s="391" t="s">
        <v>236</v>
      </c>
      <c r="C92" s="392"/>
      <c r="D92" s="392"/>
      <c r="E92" s="392"/>
      <c r="F92" s="392"/>
      <c r="G92" s="393"/>
      <c r="M92" s="121"/>
    </row>
    <row r="93" spans="2:13" s="120" customFormat="1">
      <c r="B93" s="420" t="s">
        <v>237</v>
      </c>
      <c r="C93" s="421"/>
      <c r="D93" s="421"/>
      <c r="E93" s="421"/>
      <c r="F93" s="421"/>
      <c r="G93" s="422"/>
      <c r="M93" s="121"/>
    </row>
    <row r="94" spans="2:13" ht="12.4" customHeight="1">
      <c r="B94" s="423" t="s">
        <v>238</v>
      </c>
      <c r="C94" s="424"/>
      <c r="D94" s="424"/>
      <c r="E94" s="424"/>
      <c r="F94" s="424"/>
      <c r="G94" s="425"/>
      <c r="M94" s="122"/>
    </row>
    <row r="95" spans="2:13" ht="63.4" customHeight="1">
      <c r="B95" s="123"/>
      <c r="C95" s="426" t="s">
        <v>239</v>
      </c>
      <c r="D95" s="426"/>
      <c r="E95" s="426"/>
      <c r="F95" s="426"/>
      <c r="G95" s="427"/>
      <c r="M95" s="124"/>
    </row>
    <row r="96" spans="2:13" ht="54" customHeight="1">
      <c r="B96" s="123"/>
      <c r="C96" s="426" t="s">
        <v>240</v>
      </c>
      <c r="D96" s="426"/>
      <c r="E96" s="426"/>
      <c r="F96" s="426"/>
      <c r="G96" s="427"/>
      <c r="M96" s="124"/>
    </row>
    <row r="97" spans="1:8" ht="31.5" customHeight="1">
      <c r="B97" s="123"/>
      <c r="C97" s="426" t="s">
        <v>241</v>
      </c>
      <c r="D97" s="426"/>
      <c r="E97" s="426"/>
      <c r="F97" s="426"/>
      <c r="G97" s="427"/>
    </row>
    <row r="98" spans="1:8" s="125" customFormat="1" ht="24.75" customHeight="1">
      <c r="A98" s="43"/>
      <c r="B98" s="428" t="s">
        <v>242</v>
      </c>
      <c r="C98" s="429"/>
      <c r="D98" s="430" t="s">
        <v>243</v>
      </c>
      <c r="E98" s="430"/>
      <c r="F98" s="430"/>
      <c r="G98" s="431"/>
      <c r="H98" s="43"/>
    </row>
    <row r="99" spans="1:8" s="127" customFormat="1">
      <c r="A99" s="126"/>
      <c r="B99" s="402" t="s">
        <v>244</v>
      </c>
      <c r="C99" s="403"/>
      <c r="D99" s="404" t="s">
        <v>245</v>
      </c>
      <c r="E99" s="404"/>
      <c r="F99" s="404"/>
      <c r="G99" s="405"/>
      <c r="H99" s="126"/>
    </row>
    <row r="100" spans="1:8" s="42" customFormat="1" ht="15" customHeight="1">
      <c r="B100" s="406" t="s">
        <v>246</v>
      </c>
      <c r="C100" s="407"/>
      <c r="D100" s="407"/>
      <c r="E100" s="407"/>
      <c r="F100" s="407"/>
      <c r="G100" s="408"/>
    </row>
    <row r="101" spans="1:8" s="42" customFormat="1">
      <c r="B101" s="406" t="s">
        <v>353</v>
      </c>
      <c r="C101" s="407"/>
      <c r="D101" s="407"/>
      <c r="E101" s="407"/>
      <c r="F101" s="407"/>
      <c r="G101" s="408"/>
    </row>
    <row r="102" spans="1:8" s="42" customFormat="1">
      <c r="B102" s="57"/>
      <c r="C102" s="128"/>
      <c r="D102" s="128"/>
      <c r="E102" s="128"/>
      <c r="F102" s="128"/>
      <c r="G102" s="128"/>
    </row>
    <row r="103" spans="1:8">
      <c r="B103" s="322" t="s">
        <v>77</v>
      </c>
      <c r="C103" s="328"/>
      <c r="D103" s="323"/>
      <c r="E103" s="322" t="s">
        <v>110</v>
      </c>
      <c r="F103" s="328"/>
      <c r="G103" s="323"/>
    </row>
    <row r="104" spans="1:8" ht="11.25" customHeight="1">
      <c r="B104" s="49" t="s">
        <v>9</v>
      </c>
      <c r="C104" s="409" t="s">
        <v>247</v>
      </c>
      <c r="D104" s="410"/>
      <c r="E104" s="411" t="s">
        <v>112</v>
      </c>
      <c r="F104" s="412"/>
      <c r="G104" s="413"/>
    </row>
    <row r="105" spans="1:8">
      <c r="B105" s="49" t="s">
        <v>11</v>
      </c>
      <c r="C105" s="129" t="s">
        <v>248</v>
      </c>
      <c r="D105" s="130"/>
      <c r="E105" s="414"/>
      <c r="F105" s="415"/>
      <c r="G105" s="416"/>
    </row>
    <row r="106" spans="1:8">
      <c r="B106" s="49" t="s">
        <v>13</v>
      </c>
      <c r="C106" s="131" t="s">
        <v>249</v>
      </c>
      <c r="D106" s="131"/>
      <c r="E106" s="414"/>
      <c r="F106" s="415"/>
      <c r="G106" s="416"/>
    </row>
    <row r="107" spans="1:8">
      <c r="B107" s="49" t="s">
        <v>15</v>
      </c>
      <c r="C107" s="131" t="s">
        <v>250</v>
      </c>
      <c r="D107" s="131"/>
      <c r="E107" s="417"/>
      <c r="F107" s="418"/>
      <c r="G107" s="419"/>
    </row>
    <row r="108" spans="1:8" s="42" customFormat="1">
      <c r="B108" s="57"/>
      <c r="C108" s="58"/>
      <c r="D108" s="58"/>
      <c r="E108" s="58"/>
      <c r="F108" s="58"/>
      <c r="G108" s="58"/>
    </row>
    <row r="109" spans="1:8" ht="18" customHeight="1">
      <c r="B109" s="322" t="s">
        <v>251</v>
      </c>
      <c r="C109" s="323"/>
      <c r="D109" s="132" t="s">
        <v>145</v>
      </c>
      <c r="E109" s="317" t="s">
        <v>109</v>
      </c>
      <c r="F109" s="317"/>
      <c r="G109" s="317"/>
    </row>
    <row r="110" spans="1:8" ht="13.15" customHeight="1">
      <c r="B110" s="61" t="s">
        <v>9</v>
      </c>
      <c r="C110" s="62" t="s">
        <v>252</v>
      </c>
      <c r="D110" s="133">
        <v>0.05</v>
      </c>
      <c r="E110" s="435" t="s">
        <v>359</v>
      </c>
      <c r="F110" s="435"/>
      <c r="G110" s="435"/>
    </row>
    <row r="111" spans="1:8" ht="13.15" customHeight="1">
      <c r="B111" s="61" t="s">
        <v>11</v>
      </c>
      <c r="C111" s="62" t="s">
        <v>253</v>
      </c>
      <c r="D111" s="133">
        <v>0.1</v>
      </c>
      <c r="E111" s="435" t="s">
        <v>360</v>
      </c>
      <c r="F111" s="435"/>
      <c r="G111" s="435"/>
    </row>
    <row r="112" spans="1:8" ht="13.15" customHeight="1">
      <c r="B112" s="61" t="s">
        <v>13</v>
      </c>
      <c r="C112" s="62" t="s">
        <v>254</v>
      </c>
      <c r="D112" s="133">
        <f>D113+D116+D117+D118</f>
        <v>0.14250000000000002</v>
      </c>
      <c r="E112" s="134"/>
      <c r="F112" s="135"/>
      <c r="G112" s="136"/>
    </row>
    <row r="113" spans="2:7" s="138" customFormat="1" ht="13.15" customHeight="1">
      <c r="B113" s="61" t="s">
        <v>255</v>
      </c>
      <c r="C113" s="62" t="s">
        <v>256</v>
      </c>
      <c r="D113" s="133">
        <f>D114+D115</f>
        <v>9.2499999999999999E-2</v>
      </c>
      <c r="E113" s="137"/>
      <c r="G113" s="139"/>
    </row>
    <row r="114" spans="2:7" s="138" customFormat="1" ht="13.15" customHeight="1">
      <c r="B114" s="140"/>
      <c r="C114" s="141" t="s">
        <v>257</v>
      </c>
      <c r="D114" s="142">
        <v>1.6500000000000001E-2</v>
      </c>
      <c r="E114" s="436" t="s">
        <v>258</v>
      </c>
      <c r="F114" s="437"/>
      <c r="G114" s="438"/>
    </row>
    <row r="115" spans="2:7" ht="13.15" customHeight="1">
      <c r="B115" s="140"/>
      <c r="C115" s="141" t="s">
        <v>259</v>
      </c>
      <c r="D115" s="142">
        <v>7.5999999999999998E-2</v>
      </c>
      <c r="E115" s="436" t="s">
        <v>260</v>
      </c>
      <c r="F115" s="437"/>
      <c r="G115" s="438"/>
    </row>
    <row r="116" spans="2:7" ht="13.15" customHeight="1">
      <c r="B116" s="61" t="s">
        <v>261</v>
      </c>
      <c r="C116" s="62" t="s">
        <v>262</v>
      </c>
      <c r="D116" s="133">
        <v>0.05</v>
      </c>
      <c r="E116" s="143"/>
      <c r="F116" s="144"/>
      <c r="G116" s="145"/>
    </row>
    <row r="117" spans="2:7" ht="13.15" customHeight="1">
      <c r="B117" s="146" t="s">
        <v>263</v>
      </c>
      <c r="C117" s="147" t="s">
        <v>264</v>
      </c>
      <c r="D117" s="148">
        <v>0</v>
      </c>
      <c r="E117" s="149"/>
      <c r="F117" s="150"/>
      <c r="G117" s="151"/>
    </row>
    <row r="118" spans="2:7" ht="13.15" customHeight="1">
      <c r="B118" s="146" t="s">
        <v>265</v>
      </c>
      <c r="C118" s="152" t="s">
        <v>266</v>
      </c>
      <c r="D118" s="148">
        <v>0</v>
      </c>
      <c r="E118" s="153"/>
      <c r="F118" s="154"/>
      <c r="G118" s="155"/>
    </row>
    <row r="119" spans="2:7" ht="67.5" customHeight="1">
      <c r="B119" s="432" t="s">
        <v>267</v>
      </c>
      <c r="C119" s="433"/>
      <c r="D119" s="433"/>
      <c r="E119" s="433"/>
      <c r="F119" s="433"/>
      <c r="G119" s="434"/>
    </row>
    <row r="120" spans="2:7" s="138" customFormat="1" ht="21" customHeight="1">
      <c r="B120" s="385" t="s">
        <v>268</v>
      </c>
      <c r="C120" s="386"/>
      <c r="D120" s="386"/>
      <c r="E120" s="386"/>
      <c r="F120" s="386"/>
      <c r="G120" s="387"/>
    </row>
    <row r="121" spans="2:7" s="138" customFormat="1" ht="31.5" customHeight="1">
      <c r="B121" s="340" t="s">
        <v>269</v>
      </c>
      <c r="C121" s="341"/>
      <c r="D121" s="341"/>
      <c r="E121" s="341"/>
      <c r="F121" s="341"/>
      <c r="G121" s="342"/>
    </row>
    <row r="122" spans="2:7">
      <c r="B122" s="156"/>
      <c r="C122" s="157"/>
      <c r="D122" s="157"/>
    </row>
    <row r="123" spans="2:7">
      <c r="B123" s="156"/>
      <c r="C123" s="157"/>
      <c r="D123" s="157"/>
    </row>
    <row r="124" spans="2:7">
      <c r="B124" s="156"/>
      <c r="C124" s="157"/>
      <c r="D124" s="157"/>
    </row>
  </sheetData>
  <mergeCells count="115">
    <mergeCell ref="B119:G119"/>
    <mergeCell ref="B120:G120"/>
    <mergeCell ref="B121:G121"/>
    <mergeCell ref="B109:C109"/>
    <mergeCell ref="E109:G109"/>
    <mergeCell ref="E110:G110"/>
    <mergeCell ref="E111:G111"/>
    <mergeCell ref="E114:G114"/>
    <mergeCell ref="E115:G115"/>
    <mergeCell ref="B99:C99"/>
    <mergeCell ref="D99:G99"/>
    <mergeCell ref="B100:G100"/>
    <mergeCell ref="B103:D103"/>
    <mergeCell ref="E103:G103"/>
    <mergeCell ref="C104:D104"/>
    <mergeCell ref="E104:G107"/>
    <mergeCell ref="B93:G93"/>
    <mergeCell ref="B94:G94"/>
    <mergeCell ref="C95:G95"/>
    <mergeCell ref="C96:G96"/>
    <mergeCell ref="C97:G97"/>
    <mergeCell ref="B98:C98"/>
    <mergeCell ref="D98:G98"/>
    <mergeCell ref="B101:G101"/>
    <mergeCell ref="E84:F84"/>
    <mergeCell ref="B85:C85"/>
    <mergeCell ref="B90:G90"/>
    <mergeCell ref="B91:G91"/>
    <mergeCell ref="B92:G92"/>
    <mergeCell ref="E78:F78"/>
    <mergeCell ref="E79:F79"/>
    <mergeCell ref="E80:F80"/>
    <mergeCell ref="E81:F81"/>
    <mergeCell ref="E82:F82"/>
    <mergeCell ref="E83:F83"/>
    <mergeCell ref="E85:G85"/>
    <mergeCell ref="E86:G86"/>
    <mergeCell ref="B87:C87"/>
    <mergeCell ref="E87:G87"/>
    <mergeCell ref="E88:G88"/>
    <mergeCell ref="B89:C89"/>
    <mergeCell ref="E89:G89"/>
    <mergeCell ref="B72:G72"/>
    <mergeCell ref="B73:G73"/>
    <mergeCell ref="B74:G74"/>
    <mergeCell ref="B75:G75"/>
    <mergeCell ref="B77:C77"/>
    <mergeCell ref="E77:F77"/>
    <mergeCell ref="E67:F67"/>
    <mergeCell ref="E68:F68"/>
    <mergeCell ref="B69:C69"/>
    <mergeCell ref="B70:C70"/>
    <mergeCell ref="E70:F70"/>
    <mergeCell ref="B71:G71"/>
    <mergeCell ref="E60:F60"/>
    <mergeCell ref="E61:F61"/>
    <mergeCell ref="E63:F63"/>
    <mergeCell ref="E64:F64"/>
    <mergeCell ref="E65:F65"/>
    <mergeCell ref="E66:F66"/>
    <mergeCell ref="B51:D51"/>
    <mergeCell ref="E51:G51"/>
    <mergeCell ref="C52:D52"/>
    <mergeCell ref="B57:G57"/>
    <mergeCell ref="B59:C59"/>
    <mergeCell ref="E59:F59"/>
    <mergeCell ref="B44:G44"/>
    <mergeCell ref="B45:G45"/>
    <mergeCell ref="B46:G46"/>
    <mergeCell ref="B47:G47"/>
    <mergeCell ref="B48:G48"/>
    <mergeCell ref="B49:G49"/>
    <mergeCell ref="E38:G38"/>
    <mergeCell ref="E39:G39"/>
    <mergeCell ref="E40:G40"/>
    <mergeCell ref="E41:G41"/>
    <mergeCell ref="E42:G42"/>
    <mergeCell ref="B43:C43"/>
    <mergeCell ref="E43:G43"/>
    <mergeCell ref="B33:C33"/>
    <mergeCell ref="E33:G33"/>
    <mergeCell ref="E34:G34"/>
    <mergeCell ref="E35:G35"/>
    <mergeCell ref="E36:G36"/>
    <mergeCell ref="E37:G37"/>
    <mergeCell ref="E26:F26"/>
    <mergeCell ref="B27:C27"/>
    <mergeCell ref="E27:F27"/>
    <mergeCell ref="B28:G28"/>
    <mergeCell ref="B29:G30"/>
    <mergeCell ref="B31:G31"/>
    <mergeCell ref="B20:G20"/>
    <mergeCell ref="B21:G21"/>
    <mergeCell ref="B23:C23"/>
    <mergeCell ref="E23:F23"/>
    <mergeCell ref="E24:F24"/>
    <mergeCell ref="E25:F25"/>
    <mergeCell ref="B14:G14"/>
    <mergeCell ref="B15:G15"/>
    <mergeCell ref="B16:G16"/>
    <mergeCell ref="B17:G17"/>
    <mergeCell ref="B18:G18"/>
    <mergeCell ref="B19:G19"/>
    <mergeCell ref="D8:F8"/>
    <mergeCell ref="D9:F9"/>
    <mergeCell ref="D10:F10"/>
    <mergeCell ref="D11:F11"/>
    <mergeCell ref="D12:F12"/>
    <mergeCell ref="B13:G13"/>
    <mergeCell ref="B2:G2"/>
    <mergeCell ref="B4:C4"/>
    <mergeCell ref="D4:F4"/>
    <mergeCell ref="D5:F5"/>
    <mergeCell ref="D6:F6"/>
    <mergeCell ref="D7:F7"/>
  </mergeCells>
  <dataValidations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05" xr:uid="{00000000-0002-0000-0100-000000000000}"/>
  </dataValidations>
  <hyperlinks>
    <hyperlink ref="B99:C99" r:id="rId1" display="Clique aqui para consultar o Anuário Estatístico da Previdência Social - AEPS" xr:uid="{00000000-0004-0000-0100-000000000000}"/>
    <hyperlink ref="B98:C98" r:id="rId2" display="Clique aqui para consultar o Painel de Informações da RAIS de 2021" xr:uid="{00000000-0004-0000-0100-000001000000}"/>
  </hyperlinks>
  <pageMargins left="0.511811024" right="0.511811024" top="0.78740157499999996" bottom="0.78740157499999996" header="0.31496062000000002" footer="0.31496062000000002"/>
  <pageSetup paperSize="9" scale="51" orientation="portrait" r:id="rId3"/>
  <colBreaks count="1" manualBreakCount="1">
    <brk id="7" max="1048575" man="1"/>
  </colBreaks>
  <ignoredErrors>
    <ignoredError sqref="D8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0"/>
  <sheetViews>
    <sheetView showGridLines="0" view="pageBreakPreview" zoomScale="60" zoomScaleNormal="100" workbookViewId="0">
      <selection activeCell="C22" sqref="C22"/>
    </sheetView>
  </sheetViews>
  <sheetFormatPr defaultRowHeight="15"/>
  <cols>
    <col min="3" max="3" width="78" customWidth="1"/>
    <col min="4" max="4" width="21.28515625" customWidth="1"/>
  </cols>
  <sheetData>
    <row r="2" spans="2:10">
      <c r="B2" s="440" t="s">
        <v>270</v>
      </c>
      <c r="C2" s="440" t="s">
        <v>271</v>
      </c>
      <c r="D2" s="239" t="s">
        <v>272</v>
      </c>
    </row>
    <row r="3" spans="2:10">
      <c r="B3" s="440"/>
      <c r="C3" s="440"/>
      <c r="D3" s="240" t="s">
        <v>145</v>
      </c>
    </row>
    <row r="4" spans="2:10">
      <c r="B4" s="159">
        <v>1</v>
      </c>
      <c r="C4" s="160" t="s">
        <v>273</v>
      </c>
      <c r="D4" s="161">
        <v>0.121</v>
      </c>
    </row>
    <row r="5" spans="2:10">
      <c r="B5" s="159">
        <v>2</v>
      </c>
      <c r="C5" s="160" t="s">
        <v>274</v>
      </c>
      <c r="D5" s="161">
        <v>8.3299999999999999E-2</v>
      </c>
    </row>
    <row r="6" spans="2:10">
      <c r="B6" s="162">
        <v>3</v>
      </c>
      <c r="C6" s="163" t="s">
        <v>275</v>
      </c>
      <c r="D6" s="158">
        <f>SUM(D4:D5)</f>
        <v>0.20429999999999998</v>
      </c>
    </row>
    <row r="7" spans="2:10">
      <c r="B7" s="159">
        <v>4</v>
      </c>
      <c r="C7" s="160" t="s">
        <v>276</v>
      </c>
      <c r="D7" s="164">
        <f>((D6*'PLANILHA FORMAÇÃO DE PREÇO'!D42)*100)/100</f>
        <v>7.5182399999999996E-2</v>
      </c>
    </row>
    <row r="8" spans="2:10">
      <c r="B8" s="159">
        <v>5</v>
      </c>
      <c r="C8" s="160" t="s">
        <v>277</v>
      </c>
      <c r="D8" s="165">
        <v>0.04</v>
      </c>
    </row>
    <row r="9" spans="2:10">
      <c r="B9" s="162">
        <v>6</v>
      </c>
      <c r="C9" s="163" t="s">
        <v>278</v>
      </c>
      <c r="D9" s="158">
        <f>D6+D7+D8</f>
        <v>0.31948239999999994</v>
      </c>
    </row>
    <row r="10" spans="2:10">
      <c r="B10" s="441" t="s">
        <v>279</v>
      </c>
      <c r="C10" s="441"/>
      <c r="D10" s="441"/>
      <c r="E10" s="166"/>
      <c r="F10" s="166"/>
      <c r="G10" s="166"/>
      <c r="H10" s="166"/>
      <c r="I10" s="166"/>
      <c r="J10" s="166"/>
    </row>
    <row r="11" spans="2:10">
      <c r="B11" s="441" t="s">
        <v>280</v>
      </c>
      <c r="C11" s="441"/>
      <c r="D11" s="441"/>
      <c r="E11" s="166"/>
      <c r="F11" s="166"/>
      <c r="G11" s="166"/>
      <c r="H11" s="166"/>
      <c r="I11" s="166"/>
      <c r="J11" s="166"/>
    </row>
    <row r="12" spans="2:10">
      <c r="B12" s="441" t="s">
        <v>281</v>
      </c>
      <c r="C12" s="441"/>
      <c r="D12" s="441"/>
      <c r="E12" s="166"/>
      <c r="F12" s="166"/>
      <c r="G12" s="166"/>
      <c r="H12" s="166"/>
      <c r="I12" s="166"/>
      <c r="J12" s="166"/>
    </row>
    <row r="13" spans="2:10">
      <c r="B13" s="441" t="s">
        <v>282</v>
      </c>
      <c r="C13" s="441"/>
      <c r="D13" s="441"/>
      <c r="E13" s="166"/>
      <c r="F13" s="166"/>
      <c r="G13" s="166"/>
      <c r="H13" s="166"/>
      <c r="I13" s="166"/>
      <c r="J13" s="166"/>
    </row>
    <row r="14" spans="2:10" ht="64.5" customHeight="1">
      <c r="B14" s="439" t="s">
        <v>283</v>
      </c>
      <c r="C14" s="439"/>
      <c r="D14" s="439"/>
    </row>
    <row r="15" spans="2:10">
      <c r="B15" s="167" t="s">
        <v>284</v>
      </c>
    </row>
    <row r="20" spans="3:3">
      <c r="C20" s="168"/>
    </row>
  </sheetData>
  <mergeCells count="7">
    <mergeCell ref="B14:D14"/>
    <mergeCell ref="B2:B3"/>
    <mergeCell ref="C2:C3"/>
    <mergeCell ref="B10:D10"/>
    <mergeCell ref="B11:D11"/>
    <mergeCell ref="B12:D12"/>
    <mergeCell ref="B13:D13"/>
  </mergeCells>
  <pageMargins left="0.511811024" right="0.511811024" top="0.78740157499999996" bottom="0.78740157499999996" header="0.31496062000000002" footer="0.3149606200000000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
  <sheetViews>
    <sheetView showGridLines="0" view="pageBreakPreview" zoomScale="60" zoomScaleNormal="100" workbookViewId="0">
      <selection activeCell="E16" sqref="E16"/>
    </sheetView>
  </sheetViews>
  <sheetFormatPr defaultColWidth="9.140625" defaultRowHeight="15"/>
  <cols>
    <col min="1" max="1" width="9.140625" style="170"/>
    <col min="2" max="2" width="28.5703125" style="170" customWidth="1"/>
    <col min="3" max="3" width="21.7109375" style="170" customWidth="1"/>
    <col min="4" max="4" width="17.42578125" style="170" bestFit="1" customWidth="1"/>
    <col min="5" max="5" width="13.28515625" style="170" customWidth="1"/>
    <col min="6" max="6" width="18.5703125" style="170" customWidth="1"/>
    <col min="7" max="7" width="21" style="170" customWidth="1"/>
    <col min="8" max="16384" width="9.140625" style="170"/>
  </cols>
  <sheetData>
    <row r="1" spans="2:10" ht="15.75" thickBot="1"/>
    <row r="2" spans="2:10" ht="22.5" customHeight="1" thickBot="1">
      <c r="B2" s="447" t="s">
        <v>285</v>
      </c>
      <c r="C2" s="448"/>
      <c r="D2" s="448"/>
      <c r="E2" s="448"/>
      <c r="F2" s="448"/>
      <c r="G2" s="449"/>
    </row>
    <row r="3" spans="2:10" ht="21.75" customHeight="1">
      <c r="B3" s="442" t="s">
        <v>286</v>
      </c>
      <c r="C3" s="443"/>
      <c r="D3" s="443"/>
      <c r="E3" s="443"/>
      <c r="F3" s="169"/>
      <c r="G3" s="180"/>
    </row>
    <row r="4" spans="2:10" ht="46.5" customHeight="1">
      <c r="B4" s="181" t="s">
        <v>287</v>
      </c>
      <c r="C4" s="171" t="s">
        <v>288</v>
      </c>
      <c r="D4" s="171" t="s">
        <v>289</v>
      </c>
      <c r="E4" s="171" t="s">
        <v>290</v>
      </c>
      <c r="F4" s="169"/>
      <c r="G4" s="180"/>
    </row>
    <row r="5" spans="2:10">
      <c r="B5" s="182" t="s">
        <v>291</v>
      </c>
      <c r="C5" s="172">
        <v>0</v>
      </c>
      <c r="D5" s="173">
        <v>22</v>
      </c>
      <c r="E5" s="172">
        <f>C5*D5</f>
        <v>0</v>
      </c>
      <c r="F5" s="169"/>
      <c r="G5" s="180"/>
    </row>
    <row r="6" spans="2:10">
      <c r="B6" s="182" t="s">
        <v>292</v>
      </c>
      <c r="C6" s="172">
        <v>0</v>
      </c>
      <c r="D6" s="173">
        <v>22</v>
      </c>
      <c r="E6" s="172">
        <f t="shared" ref="E6:E8" si="0">C6*D6</f>
        <v>0</v>
      </c>
      <c r="F6" s="169"/>
      <c r="G6" s="180"/>
    </row>
    <row r="7" spans="2:10">
      <c r="B7" s="182" t="s">
        <v>293</v>
      </c>
      <c r="C7" s="172">
        <v>0</v>
      </c>
      <c r="D7" s="173">
        <v>22</v>
      </c>
      <c r="E7" s="172">
        <f t="shared" si="0"/>
        <v>0</v>
      </c>
      <c r="F7" s="169"/>
      <c r="G7" s="180"/>
    </row>
    <row r="8" spans="2:10">
      <c r="B8" s="182" t="s">
        <v>294</v>
      </c>
      <c r="C8" s="172">
        <v>0</v>
      </c>
      <c r="D8" s="173">
        <v>22</v>
      </c>
      <c r="E8" s="172">
        <f t="shared" si="0"/>
        <v>0</v>
      </c>
      <c r="F8" s="169"/>
      <c r="G8" s="180"/>
    </row>
    <row r="9" spans="2:10">
      <c r="B9" s="444" t="s">
        <v>295</v>
      </c>
      <c r="C9" s="445"/>
      <c r="D9" s="446"/>
      <c r="E9" s="178">
        <f>SUM(E5:E8)</f>
        <v>0</v>
      </c>
      <c r="F9" s="169"/>
      <c r="G9" s="180"/>
    </row>
    <row r="10" spans="2:10">
      <c r="B10" s="183"/>
      <c r="C10" s="169"/>
      <c r="D10" s="169"/>
      <c r="E10" s="169"/>
      <c r="F10" s="169"/>
      <c r="G10" s="180"/>
    </row>
    <row r="11" spans="2:10">
      <c r="B11" s="183"/>
      <c r="C11" s="169"/>
      <c r="D11" s="169"/>
      <c r="E11" s="169"/>
      <c r="F11" s="169"/>
      <c r="G11" s="180"/>
    </row>
    <row r="12" spans="2:10" ht="51">
      <c r="B12" s="184" t="s">
        <v>296</v>
      </c>
      <c r="C12" s="179" t="s">
        <v>297</v>
      </c>
      <c r="D12" s="179" t="s">
        <v>298</v>
      </c>
      <c r="E12" s="179" t="s">
        <v>299</v>
      </c>
      <c r="F12" s="179" t="s">
        <v>300</v>
      </c>
      <c r="G12" s="185" t="s">
        <v>301</v>
      </c>
      <c r="H12" s="174"/>
      <c r="I12" s="174"/>
      <c r="J12" s="174"/>
    </row>
    <row r="13" spans="2:10">
      <c r="B13" s="182" t="s">
        <v>302</v>
      </c>
      <c r="C13" s="175">
        <f>'PLANILHA FORMAÇÃO DE PREÇO'!E13</f>
        <v>1651</v>
      </c>
      <c r="D13" s="175">
        <f>E9</f>
        <v>0</v>
      </c>
      <c r="E13" s="191">
        <v>0.06</v>
      </c>
      <c r="F13" s="175">
        <f>C13*E13</f>
        <v>99.06</v>
      </c>
      <c r="G13" s="186">
        <f>D13-F13</f>
        <v>-99.06</v>
      </c>
    </row>
    <row r="14" spans="2:10">
      <c r="B14" s="182" t="s">
        <v>303</v>
      </c>
      <c r="C14" s="175">
        <v>0</v>
      </c>
      <c r="D14" s="175">
        <v>0</v>
      </c>
      <c r="E14" s="191">
        <v>0.06</v>
      </c>
      <c r="F14" s="175">
        <f>C14*E14</f>
        <v>0</v>
      </c>
      <c r="G14" s="186">
        <f>D14-F14</f>
        <v>0</v>
      </c>
    </row>
    <row r="15" spans="2:10">
      <c r="B15" s="182" t="s">
        <v>304</v>
      </c>
      <c r="C15" s="175">
        <v>0</v>
      </c>
      <c r="D15" s="175">
        <v>0</v>
      </c>
      <c r="E15" s="191">
        <v>0.06</v>
      </c>
      <c r="F15" s="175">
        <f>C15*E15</f>
        <v>0</v>
      </c>
      <c r="G15" s="186">
        <f>D15-F15</f>
        <v>0</v>
      </c>
    </row>
    <row r="16" spans="2:10">
      <c r="B16" s="182" t="s">
        <v>305</v>
      </c>
      <c r="C16" s="175">
        <v>0</v>
      </c>
      <c r="D16" s="176">
        <v>0</v>
      </c>
      <c r="E16" s="192">
        <v>0.06</v>
      </c>
      <c r="F16" s="177">
        <f>C16*E16</f>
        <v>0</v>
      </c>
      <c r="G16" s="187">
        <f>D16-F16</f>
        <v>0</v>
      </c>
    </row>
    <row r="17" spans="2:7" ht="15.75" thickBot="1">
      <c r="B17" s="188" t="s">
        <v>306</v>
      </c>
      <c r="C17" s="189">
        <v>0</v>
      </c>
      <c r="D17" s="189">
        <v>0</v>
      </c>
      <c r="E17" s="193">
        <v>0.06</v>
      </c>
      <c r="F17" s="189">
        <f>C17*E17</f>
        <v>0</v>
      </c>
      <c r="G17" s="190">
        <f>D17-F17</f>
        <v>0</v>
      </c>
    </row>
    <row r="18" spans="2:7">
      <c r="B18" s="169"/>
      <c r="C18" s="169"/>
      <c r="D18" s="169"/>
      <c r="E18" s="169"/>
      <c r="F18" s="169"/>
      <c r="G18" s="169"/>
    </row>
    <row r="19" spans="2:7">
      <c r="B19" s="169"/>
      <c r="C19" s="169"/>
      <c r="D19" s="169"/>
      <c r="E19" s="169"/>
      <c r="F19" s="169"/>
      <c r="G19" s="169"/>
    </row>
  </sheetData>
  <mergeCells count="3">
    <mergeCell ref="B3:E3"/>
    <mergeCell ref="B9:D9"/>
    <mergeCell ref="B2:G2"/>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6"/>
  <sheetViews>
    <sheetView showGridLines="0" view="pageBreakPreview" zoomScale="60" zoomScaleNormal="100" workbookViewId="0">
      <selection activeCell="D14" sqref="D14"/>
    </sheetView>
  </sheetViews>
  <sheetFormatPr defaultColWidth="9.140625" defaultRowHeight="15"/>
  <cols>
    <col min="1" max="1" width="9.140625" style="194"/>
    <col min="2" max="2" width="36" style="194" customWidth="1"/>
    <col min="3" max="3" width="15.28515625" style="194" customWidth="1"/>
    <col min="4" max="4" width="14.28515625" style="194" customWidth="1"/>
    <col min="5" max="5" width="16.28515625" style="194" customWidth="1"/>
    <col min="6" max="6" width="14.140625" style="194" customWidth="1"/>
    <col min="7" max="7" width="14.7109375" style="194" customWidth="1"/>
    <col min="8" max="8" width="11.42578125" style="194" customWidth="1"/>
    <col min="9" max="9" width="11.140625" style="194" customWidth="1"/>
    <col min="10" max="16384" width="9.140625" style="194"/>
  </cols>
  <sheetData>
    <row r="1" spans="2:8" ht="15.75" thickBot="1"/>
    <row r="2" spans="2:8" ht="22.5" customHeight="1" thickBot="1">
      <c r="B2" s="450" t="s">
        <v>308</v>
      </c>
      <c r="C2" s="451"/>
      <c r="D2" s="451"/>
      <c r="E2" s="451"/>
      <c r="F2" s="451"/>
      <c r="G2" s="451"/>
      <c r="H2" s="452"/>
    </row>
    <row r="3" spans="2:8">
      <c r="B3" s="461" t="s">
        <v>309</v>
      </c>
      <c r="C3" s="463" t="s">
        <v>310</v>
      </c>
      <c r="D3" s="464"/>
      <c r="E3" s="464"/>
      <c r="F3" s="169"/>
      <c r="G3" s="169"/>
      <c r="H3" s="180"/>
    </row>
    <row r="4" spans="2:8">
      <c r="B4" s="462"/>
      <c r="C4" s="453" t="s">
        <v>313</v>
      </c>
      <c r="D4" s="454"/>
      <c r="E4" s="455"/>
      <c r="F4" s="169"/>
      <c r="G4" s="169"/>
      <c r="H4" s="180"/>
    </row>
    <row r="5" spans="2:8">
      <c r="B5" s="195">
        <v>22</v>
      </c>
      <c r="C5" s="456">
        <v>0</v>
      </c>
      <c r="D5" s="457"/>
      <c r="E5" s="458"/>
      <c r="F5" s="169"/>
      <c r="G5" s="169"/>
      <c r="H5" s="180"/>
    </row>
    <row r="6" spans="2:8" ht="15.75" customHeight="1">
      <c r="B6" s="206"/>
      <c r="C6" s="207"/>
      <c r="D6" s="207"/>
      <c r="E6" s="207"/>
      <c r="F6" s="207"/>
      <c r="G6" s="207"/>
      <c r="H6" s="180"/>
    </row>
    <row r="7" spans="2:8">
      <c r="B7" s="206"/>
      <c r="C7" s="207"/>
      <c r="D7" s="207"/>
      <c r="E7" s="207"/>
      <c r="F7" s="207"/>
      <c r="G7" s="207"/>
      <c r="H7" s="180"/>
    </row>
    <row r="8" spans="2:8">
      <c r="B8" s="183"/>
      <c r="C8" s="169"/>
      <c r="D8" s="459" t="s">
        <v>315</v>
      </c>
      <c r="E8" s="460"/>
      <c r="F8" s="460"/>
      <c r="G8" s="460"/>
      <c r="H8" s="180"/>
    </row>
    <row r="9" spans="2:8" ht="63.75">
      <c r="B9" s="211" t="s">
        <v>296</v>
      </c>
      <c r="C9" s="201" t="s">
        <v>325</v>
      </c>
      <c r="D9" s="200" t="s">
        <v>326</v>
      </c>
      <c r="E9" s="200" t="s">
        <v>312</v>
      </c>
      <c r="F9" s="200" t="s">
        <v>300</v>
      </c>
      <c r="G9" s="201" t="s">
        <v>327</v>
      </c>
      <c r="H9" s="180"/>
    </row>
    <row r="10" spans="2:8">
      <c r="B10" s="219" t="s">
        <v>319</v>
      </c>
      <c r="C10" s="203">
        <f>$B$5*$C$5</f>
        <v>0</v>
      </c>
      <c r="D10" s="208">
        <f>'PLANILHA FORMAÇÃO DE PREÇO'!E13</f>
        <v>1651</v>
      </c>
      <c r="E10" s="198">
        <v>0</v>
      </c>
      <c r="F10" s="204">
        <f>C10*E10</f>
        <v>0</v>
      </c>
      <c r="G10" s="199">
        <f>C10-F10</f>
        <v>0</v>
      </c>
      <c r="H10" s="180"/>
    </row>
    <row r="11" spans="2:8">
      <c r="B11" s="219" t="s">
        <v>318</v>
      </c>
      <c r="C11" s="203">
        <v>0</v>
      </c>
      <c r="D11" s="204">
        <v>0</v>
      </c>
      <c r="E11" s="198">
        <v>0</v>
      </c>
      <c r="F11" s="204">
        <f>C11*E11</f>
        <v>0</v>
      </c>
      <c r="G11" s="199">
        <f>C11-F11</f>
        <v>0</v>
      </c>
      <c r="H11" s="180"/>
    </row>
    <row r="12" spans="2:8">
      <c r="B12" s="219" t="s">
        <v>320</v>
      </c>
      <c r="C12" s="203">
        <v>0</v>
      </c>
      <c r="D12" s="209">
        <v>0</v>
      </c>
      <c r="E12" s="198">
        <v>0</v>
      </c>
      <c r="F12" s="204">
        <f>C12*E12</f>
        <v>0</v>
      </c>
      <c r="G12" s="199">
        <f>C12-F12</f>
        <v>0</v>
      </c>
      <c r="H12" s="180"/>
    </row>
    <row r="13" spans="2:8">
      <c r="B13" s="219" t="s">
        <v>321</v>
      </c>
      <c r="C13" s="203">
        <v>0</v>
      </c>
      <c r="D13" s="204">
        <v>0</v>
      </c>
      <c r="E13" s="198">
        <v>0</v>
      </c>
      <c r="F13" s="204">
        <f>C13*E13</f>
        <v>0</v>
      </c>
      <c r="G13" s="199">
        <f>C13-F13</f>
        <v>0</v>
      </c>
      <c r="H13" s="180"/>
    </row>
    <row r="14" spans="2:8">
      <c r="B14" s="219" t="s">
        <v>322</v>
      </c>
      <c r="C14" s="203">
        <v>0</v>
      </c>
      <c r="D14" s="204">
        <v>0</v>
      </c>
      <c r="E14" s="198">
        <v>0</v>
      </c>
      <c r="F14" s="204">
        <f>C14*E14</f>
        <v>0</v>
      </c>
      <c r="G14" s="199">
        <f>C14-F14</f>
        <v>0</v>
      </c>
      <c r="H14" s="180"/>
    </row>
    <row r="15" spans="2:8">
      <c r="B15" s="205" t="s">
        <v>314</v>
      </c>
      <c r="C15" s="169"/>
      <c r="D15" s="169"/>
      <c r="E15" s="169"/>
      <c r="F15" s="169"/>
      <c r="G15" s="169"/>
      <c r="H15" s="180"/>
    </row>
    <row r="16" spans="2:8" ht="15.75" thickBot="1">
      <c r="B16" s="196"/>
      <c r="C16" s="197"/>
      <c r="D16" s="197"/>
      <c r="E16" s="197"/>
      <c r="F16" s="197"/>
      <c r="G16" s="197"/>
      <c r="H16" s="245"/>
    </row>
    <row r="17" spans="2:8">
      <c r="B17" s="169"/>
      <c r="C17" s="169"/>
      <c r="D17" s="169"/>
      <c r="E17" s="169"/>
      <c r="F17" s="169"/>
      <c r="G17" s="169"/>
      <c r="H17" s="169"/>
    </row>
    <row r="18" spans="2:8">
      <c r="B18" s="169"/>
      <c r="C18" s="169"/>
      <c r="D18" s="169"/>
      <c r="E18" s="169"/>
      <c r="F18" s="169"/>
      <c r="G18" s="169"/>
      <c r="H18" s="169"/>
    </row>
    <row r="19" spans="2:8">
      <c r="B19" s="169"/>
      <c r="C19" s="169"/>
      <c r="D19" s="169"/>
      <c r="E19" s="169"/>
      <c r="F19" s="169"/>
      <c r="G19" s="169"/>
      <c r="H19" s="169"/>
    </row>
    <row r="20" spans="2:8">
      <c r="B20" s="169"/>
      <c r="C20" s="169"/>
      <c r="D20" s="169"/>
      <c r="E20" s="169"/>
      <c r="F20" s="169"/>
      <c r="G20" s="169"/>
      <c r="H20" s="169"/>
    </row>
    <row r="21" spans="2:8">
      <c r="B21" s="169"/>
      <c r="C21" s="169"/>
      <c r="D21" s="169"/>
      <c r="E21" s="169"/>
      <c r="F21" s="169"/>
      <c r="G21" s="169"/>
      <c r="H21" s="169"/>
    </row>
    <row r="22" spans="2:8">
      <c r="B22" s="169"/>
      <c r="C22" s="169"/>
      <c r="D22" s="169"/>
      <c r="E22" s="169"/>
      <c r="F22" s="169"/>
      <c r="G22" s="169"/>
      <c r="H22" s="169"/>
    </row>
    <row r="23" spans="2:8">
      <c r="B23" s="169"/>
      <c r="C23" s="169"/>
      <c r="D23" s="169"/>
      <c r="E23" s="169"/>
      <c r="F23" s="169"/>
      <c r="G23" s="169"/>
      <c r="H23" s="169"/>
    </row>
    <row r="24" spans="2:8">
      <c r="B24" s="169"/>
      <c r="C24" s="169"/>
      <c r="D24" s="169"/>
      <c r="E24" s="169"/>
      <c r="F24" s="169"/>
      <c r="G24" s="169"/>
      <c r="H24" s="169"/>
    </row>
    <row r="25" spans="2:8">
      <c r="B25" s="169"/>
      <c r="C25" s="169"/>
      <c r="D25" s="169"/>
      <c r="E25" s="169"/>
      <c r="F25" s="169"/>
      <c r="G25" s="169"/>
      <c r="H25" s="169"/>
    </row>
    <row r="26" spans="2:8">
      <c r="B26" s="169"/>
      <c r="C26" s="169"/>
      <c r="D26" s="169"/>
      <c r="E26" s="169"/>
      <c r="F26" s="169"/>
      <c r="G26" s="169"/>
      <c r="H26" s="169"/>
    </row>
    <row r="27" spans="2:8">
      <c r="B27" s="169"/>
      <c r="C27" s="169"/>
      <c r="D27" s="169"/>
      <c r="E27" s="169"/>
      <c r="F27" s="169"/>
      <c r="G27" s="169"/>
      <c r="H27" s="169"/>
    </row>
    <row r="28" spans="2:8">
      <c r="B28" s="169"/>
      <c r="C28" s="169"/>
      <c r="D28" s="169"/>
      <c r="E28" s="169"/>
      <c r="F28" s="169"/>
      <c r="G28" s="169"/>
      <c r="H28" s="169"/>
    </row>
    <row r="29" spans="2:8">
      <c r="B29" s="169"/>
      <c r="C29" s="169"/>
      <c r="D29" s="169"/>
      <c r="E29" s="169"/>
      <c r="F29" s="169"/>
      <c r="G29" s="169"/>
      <c r="H29" s="169"/>
    </row>
    <row r="30" spans="2:8">
      <c r="B30" s="169"/>
      <c r="C30" s="169"/>
      <c r="D30" s="169"/>
      <c r="E30" s="169"/>
      <c r="F30" s="169"/>
      <c r="G30" s="169"/>
      <c r="H30" s="169"/>
    </row>
    <row r="31" spans="2:8">
      <c r="B31" s="169"/>
      <c r="C31" s="169"/>
      <c r="D31" s="169"/>
      <c r="E31" s="169"/>
      <c r="F31" s="169"/>
      <c r="G31" s="169"/>
      <c r="H31" s="169"/>
    </row>
    <row r="32" spans="2:8">
      <c r="B32" s="169"/>
      <c r="C32" s="169"/>
      <c r="D32" s="169"/>
      <c r="E32" s="169"/>
      <c r="F32" s="169"/>
      <c r="G32" s="169"/>
      <c r="H32" s="169"/>
    </row>
    <row r="33" spans="2:8">
      <c r="B33" s="169"/>
      <c r="C33" s="169"/>
      <c r="D33" s="169"/>
      <c r="E33" s="169"/>
      <c r="F33" s="169"/>
      <c r="G33" s="169"/>
      <c r="H33" s="169"/>
    </row>
    <row r="34" spans="2:8">
      <c r="B34" s="169"/>
      <c r="C34" s="169"/>
      <c r="D34" s="169"/>
      <c r="E34" s="169"/>
      <c r="F34" s="169"/>
      <c r="G34" s="169"/>
      <c r="H34" s="169"/>
    </row>
    <row r="35" spans="2:8">
      <c r="B35" s="169"/>
      <c r="C35" s="169"/>
      <c r="D35" s="169"/>
      <c r="E35" s="169"/>
      <c r="F35" s="169"/>
      <c r="G35" s="169"/>
      <c r="H35" s="169"/>
    </row>
    <row r="36" spans="2:8">
      <c r="B36" s="169"/>
      <c r="C36" s="169"/>
      <c r="D36" s="169"/>
      <c r="E36" s="169"/>
      <c r="F36" s="169"/>
      <c r="G36" s="169"/>
      <c r="H36" s="169"/>
    </row>
  </sheetData>
  <mergeCells count="6">
    <mergeCell ref="B2:H2"/>
    <mergeCell ref="C4:E4"/>
    <mergeCell ref="C5:E5"/>
    <mergeCell ref="D8:G8"/>
    <mergeCell ref="B3:B4"/>
    <mergeCell ref="C3:E3"/>
  </mergeCell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34"/>
  <sheetViews>
    <sheetView showGridLines="0" view="pageBreakPreview" zoomScale="60" zoomScaleNormal="100" workbookViewId="0">
      <selection activeCell="B6" sqref="B6"/>
    </sheetView>
  </sheetViews>
  <sheetFormatPr defaultColWidth="9.140625" defaultRowHeight="15"/>
  <cols>
    <col min="1" max="1" width="9.140625" style="194"/>
    <col min="2" max="2" width="17.85546875" style="194" bestFit="1" customWidth="1"/>
    <col min="3" max="3" width="15.28515625" style="194" customWidth="1"/>
    <col min="4" max="4" width="14.28515625" style="194" customWidth="1"/>
    <col min="5" max="5" width="27.5703125" style="194" customWidth="1"/>
    <col min="6" max="6" width="11.140625" style="194" customWidth="1"/>
    <col min="7" max="16384" width="9.140625" style="194"/>
  </cols>
  <sheetData>
    <row r="1" spans="2:5" ht="15.75" thickBot="1"/>
    <row r="2" spans="2:5" ht="22.5" customHeight="1" thickBot="1">
      <c r="B2" s="450" t="s">
        <v>328</v>
      </c>
      <c r="C2" s="451"/>
      <c r="D2" s="451"/>
      <c r="E2" s="452"/>
    </row>
    <row r="3" spans="2:5">
      <c r="B3" s="220" t="s">
        <v>310</v>
      </c>
      <c r="E3" s="214"/>
    </row>
    <row r="4" spans="2:5">
      <c r="B4" s="221" t="s">
        <v>313</v>
      </c>
      <c r="E4" s="214"/>
    </row>
    <row r="5" spans="2:5">
      <c r="B5" s="218">
        <v>0</v>
      </c>
      <c r="E5" s="214"/>
    </row>
    <row r="6" spans="2:5" ht="15.75" customHeight="1">
      <c r="B6" s="206"/>
      <c r="C6" s="207"/>
      <c r="D6" s="207"/>
      <c r="E6" s="215"/>
    </row>
    <row r="7" spans="2:5">
      <c r="B7" s="206"/>
      <c r="C7" s="207"/>
      <c r="D7" s="207"/>
      <c r="E7" s="215"/>
    </row>
    <row r="8" spans="2:5">
      <c r="B8" s="183"/>
      <c r="C8" s="459" t="s">
        <v>316</v>
      </c>
      <c r="D8" s="459"/>
      <c r="E8" s="465"/>
    </row>
    <row r="9" spans="2:5" ht="38.25">
      <c r="B9" s="211" t="s">
        <v>296</v>
      </c>
      <c r="C9" s="200" t="s">
        <v>323</v>
      </c>
      <c r="D9" s="212" t="s">
        <v>324</v>
      </c>
      <c r="E9" s="216" t="s">
        <v>317</v>
      </c>
    </row>
    <row r="10" spans="2:5">
      <c r="B10" s="219" t="s">
        <v>319</v>
      </c>
      <c r="C10" s="208">
        <f>'PLANILHA FORMAÇÃO DE PREÇO'!E13</f>
        <v>1651</v>
      </c>
      <c r="D10" s="198">
        <v>0</v>
      </c>
      <c r="E10" s="217">
        <f>D10*$B$5</f>
        <v>0</v>
      </c>
    </row>
    <row r="11" spans="2:5">
      <c r="B11" s="219" t="s">
        <v>318</v>
      </c>
      <c r="C11" s="204">
        <v>0</v>
      </c>
      <c r="D11" s="198">
        <v>0</v>
      </c>
      <c r="E11" s="217">
        <f>D11*$B$5</f>
        <v>0</v>
      </c>
    </row>
    <row r="12" spans="2:5">
      <c r="B12" s="219" t="s">
        <v>320</v>
      </c>
      <c r="C12" s="209">
        <v>0</v>
      </c>
      <c r="D12" s="198">
        <v>0</v>
      </c>
      <c r="E12" s="217">
        <f>D12*$B$5</f>
        <v>0</v>
      </c>
    </row>
    <row r="13" spans="2:5">
      <c r="B13" s="219" t="s">
        <v>321</v>
      </c>
      <c r="C13" s="204">
        <v>0</v>
      </c>
      <c r="D13" s="198">
        <v>0</v>
      </c>
      <c r="E13" s="217">
        <f>D13*$B$5</f>
        <v>0</v>
      </c>
    </row>
    <row r="14" spans="2:5" ht="15.75" thickBot="1">
      <c r="B14" s="246" t="s">
        <v>322</v>
      </c>
      <c r="C14" s="247">
        <v>0</v>
      </c>
      <c r="D14" s="248">
        <v>0</v>
      </c>
      <c r="E14" s="249">
        <f>D14*$B$5</f>
        <v>0</v>
      </c>
    </row>
    <row r="15" spans="2:5">
      <c r="B15" s="169"/>
      <c r="C15" s="169"/>
      <c r="D15" s="169"/>
      <c r="E15" s="169"/>
    </row>
    <row r="16" spans="2:5">
      <c r="B16" s="169"/>
      <c r="C16" s="169"/>
      <c r="D16" s="169"/>
      <c r="E16" s="169"/>
    </row>
    <row r="17" spans="2:5">
      <c r="B17" s="169"/>
      <c r="C17" s="169"/>
      <c r="D17" s="169"/>
      <c r="E17" s="169"/>
    </row>
    <row r="18" spans="2:5">
      <c r="B18" s="169"/>
      <c r="C18" s="169"/>
    </row>
    <row r="19" spans="2:5">
      <c r="B19" s="169"/>
      <c r="C19" s="169"/>
    </row>
    <row r="20" spans="2:5">
      <c r="B20" s="169"/>
      <c r="C20" s="169"/>
    </row>
    <row r="21" spans="2:5">
      <c r="B21" s="169"/>
      <c r="C21" s="169"/>
    </row>
    <row r="22" spans="2:5">
      <c r="B22" s="169"/>
      <c r="C22" s="169"/>
    </row>
    <row r="23" spans="2:5">
      <c r="B23" s="169"/>
      <c r="C23" s="169"/>
      <c r="D23" s="169"/>
      <c r="E23" s="169"/>
    </row>
    <row r="24" spans="2:5">
      <c r="B24" s="169"/>
      <c r="C24" s="169"/>
      <c r="D24" s="169"/>
      <c r="E24" s="169"/>
    </row>
    <row r="25" spans="2:5">
      <c r="B25" s="169"/>
      <c r="C25" s="169"/>
      <c r="D25" s="169"/>
      <c r="E25" s="169"/>
    </row>
    <row r="26" spans="2:5">
      <c r="B26" s="169"/>
      <c r="C26" s="169"/>
      <c r="D26" s="169"/>
      <c r="E26" s="169"/>
    </row>
    <row r="27" spans="2:5">
      <c r="B27" s="169"/>
      <c r="C27" s="169"/>
      <c r="D27" s="169"/>
      <c r="E27" s="169"/>
    </row>
    <row r="28" spans="2:5">
      <c r="B28" s="169"/>
      <c r="C28" s="169"/>
      <c r="D28" s="169"/>
      <c r="E28" s="169"/>
    </row>
    <row r="29" spans="2:5">
      <c r="B29" s="169"/>
      <c r="C29" s="169"/>
      <c r="D29" s="169"/>
      <c r="E29" s="169"/>
    </row>
    <row r="30" spans="2:5">
      <c r="B30" s="169"/>
      <c r="C30" s="169"/>
      <c r="D30" s="169"/>
      <c r="E30" s="169"/>
    </row>
    <row r="31" spans="2:5">
      <c r="B31" s="169"/>
      <c r="C31" s="169"/>
      <c r="D31" s="169"/>
      <c r="E31" s="169"/>
    </row>
    <row r="32" spans="2:5">
      <c r="B32" s="169"/>
      <c r="C32" s="169"/>
      <c r="D32" s="169"/>
      <c r="E32" s="169"/>
    </row>
    <row r="33" spans="2:5">
      <c r="B33" s="169"/>
      <c r="C33" s="169"/>
      <c r="D33" s="169"/>
      <c r="E33" s="169"/>
    </row>
    <row r="34" spans="2:5">
      <c r="B34" s="169"/>
      <c r="C34" s="169"/>
      <c r="D34" s="169"/>
      <c r="E34" s="169"/>
    </row>
  </sheetData>
  <mergeCells count="2">
    <mergeCell ref="C8:E8"/>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2"/>
  <sheetViews>
    <sheetView showGridLines="0" view="pageBreakPreview" zoomScale="60" zoomScaleNormal="100" workbookViewId="0">
      <selection activeCell="J7" sqref="J7"/>
    </sheetView>
  </sheetViews>
  <sheetFormatPr defaultColWidth="9.140625" defaultRowHeight="15"/>
  <cols>
    <col min="1" max="1" width="9.140625" style="194"/>
    <col min="2" max="2" width="5.85546875" style="194" customWidth="1"/>
    <col min="3" max="3" width="63" style="194" bestFit="1" customWidth="1"/>
    <col min="4" max="4" width="14.85546875" style="194" customWidth="1"/>
    <col min="5" max="5" width="15" style="194" customWidth="1"/>
    <col min="6" max="6" width="14.7109375" style="194" customWidth="1"/>
    <col min="7" max="7" width="12.5703125" style="194" customWidth="1"/>
    <col min="8" max="8" width="14.42578125" style="194" customWidth="1"/>
    <col min="9" max="9" width="11.28515625" style="194" customWidth="1"/>
    <col min="10" max="10" width="18.28515625" style="194" bestFit="1" customWidth="1"/>
    <col min="11" max="16384" width="9.140625" style="194"/>
  </cols>
  <sheetData>
    <row r="1" spans="2:10" ht="15.75" thickBot="1"/>
    <row r="2" spans="2:10" ht="21.75" customHeight="1" thickBot="1">
      <c r="B2" s="447" t="s">
        <v>335</v>
      </c>
      <c r="C2" s="448"/>
      <c r="D2" s="448"/>
      <c r="E2" s="448"/>
      <c r="F2" s="448"/>
      <c r="G2" s="448"/>
      <c r="H2" s="448"/>
      <c r="I2" s="448"/>
      <c r="J2" s="448"/>
    </row>
    <row r="3" spans="2:10" ht="15" customHeight="1">
      <c r="B3" s="466"/>
      <c r="C3" s="467"/>
      <c r="D3" s="467"/>
      <c r="E3" s="467"/>
      <c r="F3" s="467"/>
      <c r="G3" s="467"/>
      <c r="H3" s="467"/>
      <c r="I3" s="467"/>
      <c r="J3" s="467"/>
    </row>
    <row r="4" spans="2:10" ht="30.75" customHeight="1">
      <c r="B4" s="471" t="s">
        <v>329</v>
      </c>
      <c r="C4" s="474" t="s">
        <v>330</v>
      </c>
      <c r="D4" s="477" t="s">
        <v>310</v>
      </c>
      <c r="E4" s="478"/>
      <c r="F4" s="479"/>
      <c r="G4" s="480" t="s">
        <v>368</v>
      </c>
      <c r="H4" s="481"/>
      <c r="I4" s="481"/>
      <c r="J4" s="482"/>
    </row>
    <row r="5" spans="2:10" ht="25.5" customHeight="1">
      <c r="B5" s="472"/>
      <c r="C5" s="475"/>
      <c r="D5" s="250" t="s">
        <v>369</v>
      </c>
      <c r="E5" s="250" t="s">
        <v>370</v>
      </c>
      <c r="F5" s="250" t="s">
        <v>371</v>
      </c>
      <c r="G5" s="483"/>
      <c r="H5" s="484"/>
      <c r="I5" s="484"/>
      <c r="J5" s="485"/>
    </row>
    <row r="6" spans="2:10" ht="39.75" customHeight="1">
      <c r="B6" s="473"/>
      <c r="C6" s="476"/>
      <c r="D6" s="251" t="s">
        <v>372</v>
      </c>
      <c r="E6" s="251" t="s">
        <v>373</v>
      </c>
      <c r="F6" s="251" t="s">
        <v>374</v>
      </c>
      <c r="G6" s="252" t="s">
        <v>331</v>
      </c>
      <c r="H6" s="252" t="s">
        <v>332</v>
      </c>
      <c r="I6" s="253" t="s">
        <v>311</v>
      </c>
      <c r="J6" s="253" t="s">
        <v>333</v>
      </c>
    </row>
    <row r="7" spans="2:10">
      <c r="B7" s="254">
        <v>1</v>
      </c>
      <c r="C7" s="255" t="s">
        <v>375</v>
      </c>
      <c r="D7" s="222">
        <v>100</v>
      </c>
      <c r="E7" s="222">
        <v>109.9</v>
      </c>
      <c r="F7" s="222">
        <v>99</v>
      </c>
      <c r="G7" s="223">
        <v>15</v>
      </c>
      <c r="H7" s="223">
        <v>15</v>
      </c>
      <c r="I7" s="222">
        <f>AVERAGE(D7:F7)</f>
        <v>102.96666666666665</v>
      </c>
      <c r="J7" s="222">
        <f>G7*H7*I7</f>
        <v>23167.499999999996</v>
      </c>
    </row>
    <row r="8" spans="2:10">
      <c r="B8" s="225"/>
      <c r="C8" s="169"/>
      <c r="D8" s="169"/>
      <c r="E8" s="468" t="s">
        <v>376</v>
      </c>
      <c r="F8" s="468"/>
      <c r="G8" s="469"/>
      <c r="H8" s="469"/>
      <c r="I8" s="470"/>
      <c r="J8" s="257">
        <f>SUM(J7:J7)</f>
        <v>23167.499999999996</v>
      </c>
    </row>
    <row r="9" spans="2:10">
      <c r="B9" s="225"/>
      <c r="C9" s="169"/>
      <c r="D9" s="169"/>
      <c r="E9" s="256" t="s">
        <v>334</v>
      </c>
      <c r="F9" s="256"/>
      <c r="G9" s="469"/>
      <c r="H9" s="469"/>
      <c r="I9" s="470"/>
      <c r="J9" s="257">
        <f>(J8/7)/60</f>
        <v>55.16071428571427</v>
      </c>
    </row>
    <row r="10" spans="2:10" ht="15.75" thickBot="1">
      <c r="B10" s="205"/>
      <c r="C10" s="258"/>
      <c r="D10" s="258"/>
      <c r="E10" s="258"/>
      <c r="F10" s="258"/>
      <c r="G10" s="226"/>
      <c r="H10" s="226"/>
      <c r="I10" s="226"/>
      <c r="J10" s="197"/>
    </row>
    <row r="11" spans="2:10">
      <c r="B11" s="259" t="s">
        <v>377</v>
      </c>
      <c r="C11" s="260" t="s">
        <v>378</v>
      </c>
      <c r="D11" s="261" t="s">
        <v>379</v>
      </c>
      <c r="E11" s="260"/>
      <c r="F11" s="262"/>
      <c r="G11" s="169"/>
      <c r="H11" s="169"/>
      <c r="I11" s="169"/>
      <c r="J11" s="169"/>
    </row>
    <row r="12" spans="2:10">
      <c r="C12" s="224"/>
    </row>
  </sheetData>
  <mergeCells count="9">
    <mergeCell ref="B2:J2"/>
    <mergeCell ref="B3:J3"/>
    <mergeCell ref="E8:F8"/>
    <mergeCell ref="G8:I8"/>
    <mergeCell ref="G9:I9"/>
    <mergeCell ref="B4:B6"/>
    <mergeCell ref="C4:C6"/>
    <mergeCell ref="D4:F4"/>
    <mergeCell ref="G4:J5"/>
  </mergeCells>
  <hyperlinks>
    <hyperlink ref="D11" r:id="rId1" xr:uid="{52EB444C-E117-4D9E-8A9E-3BCB86A01B7E}"/>
  </hyperlinks>
  <pageMargins left="0.7" right="0.7" top="0.75" bottom="0.75" header="0.3" footer="0.3"/>
  <pageSetup paperSize="9" scale="48"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25"/>
  <sheetViews>
    <sheetView showGridLines="0" tabSelected="1" view="pageBreakPreview" zoomScale="60" zoomScaleNormal="100" workbookViewId="0">
      <selection activeCell="G23" sqref="G23"/>
    </sheetView>
  </sheetViews>
  <sheetFormatPr defaultColWidth="9.140625" defaultRowHeight="15.75"/>
  <cols>
    <col min="1" max="1" width="9.140625" style="170"/>
    <col min="2" max="2" width="4.28515625" style="227" customWidth="1"/>
    <col min="3" max="3" width="28.7109375" style="227" bestFit="1" customWidth="1"/>
    <col min="4" max="4" width="10" style="227" customWidth="1"/>
    <col min="5" max="5" width="24.85546875" style="227" bestFit="1" customWidth="1"/>
    <col min="6" max="6" width="9.140625" style="227" customWidth="1"/>
    <col min="7" max="7" width="13.140625" style="227" customWidth="1"/>
    <col min="8" max="8" width="25.85546875" style="170" bestFit="1" customWidth="1"/>
    <col min="9" max="16384" width="9.140625" style="170"/>
  </cols>
  <sheetData>
    <row r="2" spans="2:8" ht="21.75" customHeight="1">
      <c r="B2" s="507" t="s">
        <v>342</v>
      </c>
      <c r="C2" s="507"/>
      <c r="D2" s="507"/>
      <c r="E2" s="507"/>
      <c r="F2" s="507"/>
      <c r="G2" s="507"/>
      <c r="H2" s="507"/>
    </row>
    <row r="3" spans="2:8" ht="15">
      <c r="B3" s="508"/>
      <c r="C3" s="508"/>
      <c r="D3" s="508"/>
      <c r="E3" s="508"/>
      <c r="F3" s="508"/>
      <c r="G3" s="508"/>
      <c r="H3" s="508"/>
    </row>
    <row r="4" spans="2:8" ht="15">
      <c r="B4" s="229" t="s">
        <v>270</v>
      </c>
      <c r="C4" s="228" t="s">
        <v>271</v>
      </c>
      <c r="D4" s="228" t="s">
        <v>336</v>
      </c>
      <c r="E4" s="228" t="s">
        <v>354</v>
      </c>
      <c r="F4" s="228" t="s">
        <v>337</v>
      </c>
      <c r="G4" s="230" t="s">
        <v>310</v>
      </c>
      <c r="H4" s="230" t="s">
        <v>311</v>
      </c>
    </row>
    <row r="5" spans="2:8" ht="15">
      <c r="B5" s="489">
        <v>1</v>
      </c>
      <c r="C5" s="490" t="s">
        <v>385</v>
      </c>
      <c r="D5" s="460">
        <v>360</v>
      </c>
      <c r="E5" s="265" t="s">
        <v>386</v>
      </c>
      <c r="F5" s="213"/>
      <c r="G5" s="231">
        <v>7.99</v>
      </c>
      <c r="H5" s="486">
        <f>AVERAGE(G5:G9)</f>
        <v>8.3040000000000003</v>
      </c>
    </row>
    <row r="6" spans="2:8" ht="15">
      <c r="B6" s="489"/>
      <c r="C6" s="491"/>
      <c r="D6" s="460"/>
      <c r="E6" s="265" t="s">
        <v>387</v>
      </c>
      <c r="F6" s="213"/>
      <c r="G6" s="231">
        <v>8.3000000000000007</v>
      </c>
      <c r="H6" s="487"/>
    </row>
    <row r="7" spans="2:8" ht="15">
      <c r="B7" s="489"/>
      <c r="C7" s="491"/>
      <c r="D7" s="460"/>
      <c r="E7" s="265" t="s">
        <v>381</v>
      </c>
      <c r="F7" s="213"/>
      <c r="G7" s="231">
        <v>8.99</v>
      </c>
      <c r="H7" s="487"/>
    </row>
    <row r="8" spans="2:8" ht="15">
      <c r="B8" s="489"/>
      <c r="C8" s="491"/>
      <c r="D8" s="460"/>
      <c r="E8" s="265" t="s">
        <v>388</v>
      </c>
      <c r="F8" s="213"/>
      <c r="G8" s="231">
        <v>7.25</v>
      </c>
      <c r="H8" s="487"/>
    </row>
    <row r="9" spans="2:8" ht="15">
      <c r="B9" s="489"/>
      <c r="C9" s="492"/>
      <c r="D9" s="460"/>
      <c r="E9" s="265" t="s">
        <v>389</v>
      </c>
      <c r="F9" s="213"/>
      <c r="G9" s="231">
        <v>8.99</v>
      </c>
      <c r="H9" s="488"/>
    </row>
    <row r="10" spans="2:8" ht="15">
      <c r="B10" s="493">
        <v>2</v>
      </c>
      <c r="C10" s="496" t="s">
        <v>390</v>
      </c>
      <c r="D10" s="496">
        <v>900</v>
      </c>
      <c r="E10" s="263" t="s">
        <v>391</v>
      </c>
      <c r="F10" s="264"/>
      <c r="G10" s="231">
        <v>3.55</v>
      </c>
      <c r="H10" s="486">
        <f>AVERAGE(G10:G14)</f>
        <v>3.9240000000000004</v>
      </c>
    </row>
    <row r="11" spans="2:8" ht="15">
      <c r="B11" s="494"/>
      <c r="C11" s="497"/>
      <c r="D11" s="497"/>
      <c r="E11" s="263" t="s">
        <v>392</v>
      </c>
      <c r="F11" s="264"/>
      <c r="G11" s="231">
        <v>3.7</v>
      </c>
      <c r="H11" s="487"/>
    </row>
    <row r="12" spans="2:8" ht="15">
      <c r="B12" s="494"/>
      <c r="C12" s="497"/>
      <c r="D12" s="497"/>
      <c r="E12" s="263" t="s">
        <v>393</v>
      </c>
      <c r="F12" s="264"/>
      <c r="G12" s="231">
        <v>3.76</v>
      </c>
      <c r="H12" s="487"/>
    </row>
    <row r="13" spans="2:8" ht="15">
      <c r="B13" s="494"/>
      <c r="C13" s="497"/>
      <c r="D13" s="497"/>
      <c r="E13" s="263" t="s">
        <v>394</v>
      </c>
      <c r="F13" s="264"/>
      <c r="G13" s="231">
        <v>4.45</v>
      </c>
      <c r="H13" s="487"/>
    </row>
    <row r="14" spans="2:8" ht="15">
      <c r="B14" s="495"/>
      <c r="C14" s="498"/>
      <c r="D14" s="498"/>
      <c r="E14" s="263" t="s">
        <v>395</v>
      </c>
      <c r="F14" s="264"/>
      <c r="G14" s="231">
        <v>4.16</v>
      </c>
      <c r="H14" s="488"/>
    </row>
    <row r="15" spans="2:8" ht="15">
      <c r="B15" s="493">
        <v>3</v>
      </c>
      <c r="C15" s="496" t="s">
        <v>396</v>
      </c>
      <c r="D15" s="496">
        <v>30</v>
      </c>
      <c r="E15" s="264" t="s">
        <v>397</v>
      </c>
      <c r="F15" s="264"/>
      <c r="G15" s="231">
        <v>28.67</v>
      </c>
      <c r="H15" s="486">
        <f>AVERAGE(G15:G17)</f>
        <v>29.173333333333336</v>
      </c>
    </row>
    <row r="16" spans="2:8" ht="15">
      <c r="B16" s="494"/>
      <c r="C16" s="497"/>
      <c r="D16" s="497"/>
      <c r="E16" s="264" t="s">
        <v>398</v>
      </c>
      <c r="F16" s="264"/>
      <c r="G16" s="231">
        <v>28.95</v>
      </c>
      <c r="H16" s="487"/>
    </row>
    <row r="17" spans="2:8" ht="15">
      <c r="B17" s="495"/>
      <c r="C17" s="498"/>
      <c r="D17" s="498"/>
      <c r="E17" s="264" t="s">
        <v>399</v>
      </c>
      <c r="F17" s="264"/>
      <c r="G17" s="231">
        <v>29.9</v>
      </c>
      <c r="H17" s="488"/>
    </row>
    <row r="18" spans="2:8" ht="15.6" customHeight="1">
      <c r="B18" s="501">
        <v>4</v>
      </c>
      <c r="C18" s="496" t="s">
        <v>380</v>
      </c>
      <c r="D18" s="490">
        <v>30</v>
      </c>
      <c r="E18" s="263" t="s">
        <v>381</v>
      </c>
      <c r="F18" s="264"/>
      <c r="G18" s="231">
        <v>61.8</v>
      </c>
      <c r="H18" s="486">
        <f>AVERAGE(G18:G21)</f>
        <v>62.957499999999996</v>
      </c>
    </row>
    <row r="19" spans="2:8" ht="15.6" customHeight="1">
      <c r="B19" s="502"/>
      <c r="C19" s="497"/>
      <c r="D19" s="491"/>
      <c r="E19" s="263" t="s">
        <v>382</v>
      </c>
      <c r="F19" s="264"/>
      <c r="G19" s="231">
        <v>62.9</v>
      </c>
      <c r="H19" s="487"/>
    </row>
    <row r="20" spans="2:8" ht="15.6" customHeight="1">
      <c r="B20" s="502"/>
      <c r="C20" s="497"/>
      <c r="D20" s="491"/>
      <c r="E20" s="263" t="s">
        <v>383</v>
      </c>
      <c r="F20" s="264"/>
      <c r="G20" s="231">
        <v>61.99</v>
      </c>
      <c r="H20" s="487"/>
    </row>
    <row r="21" spans="2:8" ht="15.6" customHeight="1">
      <c r="B21" s="503"/>
      <c r="C21" s="498"/>
      <c r="D21" s="492"/>
      <c r="E21" s="263" t="s">
        <v>384</v>
      </c>
      <c r="F21" s="264"/>
      <c r="G21" s="231">
        <v>65.14</v>
      </c>
      <c r="H21" s="488"/>
    </row>
    <row r="22" spans="2:8" ht="15.6" customHeight="1">
      <c r="B22" s="504" t="s">
        <v>338</v>
      </c>
      <c r="C22" s="505"/>
      <c r="D22" s="505"/>
      <c r="E22" s="505"/>
      <c r="F22" s="506"/>
      <c r="G22" s="232">
        <f>AVERAGE(G18:G21)</f>
        <v>62.957499999999996</v>
      </c>
    </row>
    <row r="23" spans="2:8" ht="15">
      <c r="B23" s="499" t="s">
        <v>339</v>
      </c>
      <c r="C23" s="500"/>
      <c r="D23" s="500"/>
      <c r="E23" s="500" t="s">
        <v>340</v>
      </c>
      <c r="F23" s="500"/>
      <c r="G23" s="232">
        <f>SUM(H5:H21)</f>
        <v>104.35883333333334</v>
      </c>
    </row>
    <row r="24" spans="2:8" ht="38.25">
      <c r="B24" s="202" t="s">
        <v>377</v>
      </c>
      <c r="C24" s="266" t="s">
        <v>400</v>
      </c>
      <c r="D24" s="267" t="s">
        <v>379</v>
      </c>
      <c r="E24" s="202"/>
      <c r="F24" s="202"/>
      <c r="G24" s="202"/>
    </row>
    <row r="25" spans="2:8">
      <c r="B25" s="170"/>
    </row>
  </sheetData>
  <mergeCells count="20">
    <mergeCell ref="B2:H2"/>
    <mergeCell ref="B3:H3"/>
    <mergeCell ref="B23:F23"/>
    <mergeCell ref="B18:B21"/>
    <mergeCell ref="C18:C21"/>
    <mergeCell ref="D18:D21"/>
    <mergeCell ref="B22:F22"/>
    <mergeCell ref="H18:H21"/>
    <mergeCell ref="B5:B9"/>
    <mergeCell ref="C5:C9"/>
    <mergeCell ref="D5:D9"/>
    <mergeCell ref="H5:H9"/>
    <mergeCell ref="B10:B14"/>
    <mergeCell ref="C10:C14"/>
    <mergeCell ref="D10:D14"/>
    <mergeCell ref="H10:H14"/>
    <mergeCell ref="B15:B17"/>
    <mergeCell ref="C15:C17"/>
    <mergeCell ref="D15:D17"/>
    <mergeCell ref="H15:H17"/>
  </mergeCells>
  <hyperlinks>
    <hyperlink ref="D24" r:id="rId1" xr:uid="{144E6A58-7F2F-40E7-B931-03A213348210}"/>
  </hyperlinks>
  <pageMargins left="0.7" right="0.7" top="0.75" bottom="0.75" header="0.3" footer="0.3"/>
  <pageSetup paperSize="9" scale="6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vt:i4>
      </vt:variant>
    </vt:vector>
  </HeadingPairs>
  <TitlesOfParts>
    <vt:vector size="9" baseType="lpstr">
      <vt:lpstr>PLANILHA FORMAÇÃO DE PREÇO</vt:lpstr>
      <vt:lpstr>NOTAS EXPLICATIVAS</vt:lpstr>
      <vt:lpstr>CONTIGENCIAMENTO TRABALHISTA</vt:lpstr>
      <vt:lpstr>DETALHAMENTO TRANSPORTE</vt:lpstr>
      <vt:lpstr>DETALHAMENTO ALIMENTAÇÃO</vt:lpstr>
      <vt:lpstr>DETALHAMENTO ASS. MÉDICA</vt:lpstr>
      <vt:lpstr>DETALHAMENTO UNIFORMES</vt:lpstr>
      <vt:lpstr>DETALHAMENTO MATERIAIS-EPI-EQUI</vt:lpstr>
      <vt:lpstr>'NOTAS EXPLICATIVAS'!Area_de_impressao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Sosinski</dc:creator>
  <cp:keywords/>
  <dc:description/>
  <cp:lastModifiedBy>PC</cp:lastModifiedBy>
  <cp:revision/>
  <cp:lastPrinted>2026-04-15T12:04:01Z</cp:lastPrinted>
  <dcterms:created xsi:type="dcterms:W3CDTF">2024-01-24T17:05:55Z</dcterms:created>
  <dcterms:modified xsi:type="dcterms:W3CDTF">2026-04-15T12:04:06Z</dcterms:modified>
  <cp:category/>
  <cp:contentStatus/>
</cp:coreProperties>
</file>