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Arquivos\Documents\2026\ETP e TR\TERCEIRIZAÇÃO\"/>
    </mc:Choice>
  </mc:AlternateContent>
  <xr:revisionPtr revIDLastSave="0" documentId="13_ncr:1_{E2077ED2-08C5-4E84-B88D-736548EDE3A9}" xr6:coauthVersionLast="47" xr6:coauthVersionMax="47" xr10:uidLastSave="{00000000-0000-0000-0000-000000000000}"/>
  <bookViews>
    <workbookView xWindow="-120" yWindow="-120" windowWidth="24240" windowHeight="13140"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8" l="1"/>
  <c r="H17" i="8"/>
  <c r="H12" i="8"/>
  <c r="H9" i="8"/>
  <c r="H5" i="8"/>
  <c r="G22" i="8"/>
  <c r="E98" i="1" l="1"/>
  <c r="I7" i="7"/>
  <c r="C10" i="6"/>
  <c r="E14" i="6"/>
  <c r="E13" i="6"/>
  <c r="E12" i="6"/>
  <c r="E11" i="6"/>
  <c r="F51" i="1"/>
  <c r="J7" i="7" l="1"/>
  <c r="E10" i="6"/>
  <c r="E52" i="1" s="1"/>
  <c r="J8" i="7" l="1"/>
  <c r="J9" i="7" s="1"/>
  <c r="E112" i="1" s="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<sst xmlns="http://schemas.openxmlformats.org/spreadsheetml/2006/main" count="599" uniqueCount="402">
  <si>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</si>
  <si>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</si>
  <si>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</si>
  <si>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</si>
  <si>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</si>
  <si>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</si>
  <si>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</si>
  <si>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</si>
  <si>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</si>
  <si>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</si>
  <si>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</si>
  <si>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</si>
  <si>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</si>
  <si>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</si>
  <si>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</si>
  <si>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</si>
  <si>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</si>
  <si>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</si>
  <si>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</si>
  <si>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</si>
  <si>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</si>
  <si>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</si>
  <si>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</si>
  <si>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</si>
  <si>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</si>
  <si>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</si>
  <si>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</si>
  <si>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</si>
  <si>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</si>
  <si>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</si>
  <si>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</si>
  <si>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</si>
  <si>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</si>
  <si>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</si>
  <si>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</si>
  <si>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</si>
  <si>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</si>
  <si>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</si>
  <si>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</si>
  <si>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</si>
  <si>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</si>
  <si>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</si>
  <si>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</si>
  <si>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</si>
  <si>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</si>
  <si>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</si>
  <si>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</si>
  <si>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</si>
  <si>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</si>
  <si>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</si>
  <si>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</si>
  <si>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</si>
  <si>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</si>
  <si>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</si>
  <si>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</si>
  <si>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</si>
  <si>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</si>
  <si>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</si>
  <si>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</si>
  <si>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</si>
  <si>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</si>
  <si>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</si>
  <si>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</si>
  <si>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</si>
  <si>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</si>
  <si>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</si>
  <si>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</si>
  <si>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</si>
  <si>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</si>
  <si>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</si>
  <si>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</si>
  <si>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</si>
  <si>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</si>
  <si>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</si>
  <si>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</si>
  <si>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</si>
  <si>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</si>
  <si>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</si>
  <si>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</si>
  <si>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</si>
  <si>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</si>
  <si>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</si>
  <si>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</si>
  <si>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</si>
  <si>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</si>
  <si>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</si>
  <si>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</si>
  <si>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</si>
  <si>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</si>
  <si>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</si>
  <si>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</si>
  <si>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</si>
  <si>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</si>
  <si>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</si>
  <si>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</si>
  <si>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</si>
  <si>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</si>
  <si>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</si>
  <si>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</si>
  <si>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</si>
  <si>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</si>
  <si>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</si>
  <si>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</si>
  <si>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</si>
  <si>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</si>
  <si>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</si>
  <si>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</si>
  <si>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</si>
  <si>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</si>
  <si>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</si>
  <si>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</si>
  <si>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</si>
  <si>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</si>
  <si>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</si>
  <si>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</si>
  <si>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</si>
  <si>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</si>
  <si>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</si>
  <si>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</si>
  <si>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</si>
  <si>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</si>
  <si>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</si>
  <si>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</si>
  <si>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</si>
  <si>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</si>
  <si>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</si>
  <si>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</si>
  <si>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</si>
  <si>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</si>
  <si>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</si>
  <si>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</si>
  <si>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</si>
  <si>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</si>
  <si>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</si>
  <si>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</si>
  <si>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</si>
  <si>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</si>
  <si>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</si>
  <si>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</si>
  <si>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</si>
  <si>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</si>
  <si>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</si>
  <si>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</si>
  <si>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</si>
  <si>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</si>
  <si>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</si>
  <si>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</si>
  <si>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</si>
  <si>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</si>
  <si>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</si>
  <si>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</si>
  <si>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</si>
  <si>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</si>
  <si>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</si>
  <si>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</si>
  <si>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</si>
  <si>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</si>
  <si>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</si>
  <si>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</si>
  <si>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</si>
  <si>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</si>
  <si>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</si>
  <si>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</si>
  <si>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</si>
  <si>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</si>
  <si>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</si>
  <si>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</si>
  <si>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</si>
  <si>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</si>
  <si>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</si>
  <si>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</si>
  <si>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</si>
  <si>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</si>
  <si>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</si>
  <si>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</si>
  <si>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</si>
  <si>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</si>
  <si>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</si>
  <si>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</si>
  <si>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</si>
  <si>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</si>
  <si>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</si>
  <si>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</si>
  <si>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</si>
  <si>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</si>
  <si>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</si>
  <si>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</si>
  <si>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</si>
  <si>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</si>
  <si>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</si>
  <si>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</si>
  <si>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</si>
  <si>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</si>
  <si>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</si>
  <si>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</si>
  <si>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</si>
  <si>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</si>
  <si>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</si>
  <si>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</si>
  <si>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</si>
  <si>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</si>
  <si>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</si>
  <si>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</si>
  <si>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</si>
  <si>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</si>
  <si>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</si>
  <si>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</si>
  <si>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</si>
  <si>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</si>
  <si>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</si>
  <si>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</si>
  <si>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</si>
  <si>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</si>
  <si>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</si>
  <si>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</si>
  <si>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</si>
  <si>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</si>
  <si>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</si>
  <si>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</si>
  <si>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</si>
  <si>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</si>
  <si>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</si>
  <si>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</si>
  <si>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</si>
  <si>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</si>
  <si>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</si>
  <si>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</si>
  <si>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</si>
  <si>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</si>
  <si>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</si>
  <si>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</si>
  <si>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</si>
  <si>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</si>
  <si>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</si>
  <si>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</si>
  <si>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</si>
  <si>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</si>
  <si>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</si>
  <si>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</si>
  <si>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</si>
  <si>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</si>
  <si>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</si>
  <si>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</si>
  <si>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</si>
  <si>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</si>
  <si>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</si>
  <si>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</si>
  <si>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</si>
  <si>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</si>
  <si>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</si>
  <si>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</si>
  <si>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</si>
  <si>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</si>
  <si>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</si>
  <si>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</si>
  <si>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</si>
  <si>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</si>
  <si>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</si>
  <si>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</si>
  <si>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</si>
  <si>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</si>
  <si>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</si>
  <si>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</si>
  <si>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</si>
  <si>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</si>
  <si>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</si>
  <si>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</si>
  <si>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</si>
  <si>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</si>
  <si>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</si>
  <si>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</si>
  <si>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</si>
  <si>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</si>
  <si>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</si>
  <si>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</si>
  <si>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</si>
  <si>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</si>
  <si>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</si>
  <si>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</si>
  <si>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</si>
  <si>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</si>
  <si>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</si>
  <si>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</si>
  <si>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</si>
  <si>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</si>
  <si>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</si>
  <si>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</si>
  <si>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</si>
  <si>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</si>
  <si>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</si>
  <si>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</si>
  <si>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</si>
  <si>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</si>
  <si>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</si>
  <si>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</si>
  <si>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</si>
  <si>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</si>
  <si>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</si>
  <si>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</si>
  <si>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</si>
  <si>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</si>
  <si>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</si>
  <si>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</si>
  <si>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</si>
  <si>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</si>
  <si>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</si>
  <si>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</si>
  <si>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</si>
  <si>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</si>
  <si>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</si>
  <si>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</si>
  <si>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</si>
  <si>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</si>
  <si>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</si>
  <si>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</si>
  <si>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</si>
  <si>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</si>
  <si>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</si>
  <si>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</si>
  <si>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</si>
  <si>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</si>
  <si>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</si>
  <si>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</si>
  <si>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</si>
  <si>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</si>
  <si>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</si>
  <si>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</si>
  <si>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</si>
  <si>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</si>
  <si>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</si>
  <si>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</si>
  <si>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</si>
  <si>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</si>
  <si>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</si>
  <si>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</si>
  <si>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</si>
  <si>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</si>
  <si>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</si>
  <si>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</si>
  <si>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</si>
  <si>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</si>
  <si>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</si>
  <si>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</si>
  <si>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</si>
  <si>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</si>
  <si>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</si>
  <si>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</si>
  <si>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</si>
  <si>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</si>
  <si>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</si>
  <si>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</si>
  <si>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</si>
  <si>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</si>
  <si>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</si>
  <si>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</si>
  <si>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</si>
  <si>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</si>
  <si>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</si>
  <si>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</si>
  <si>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</si>
  <si>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</si>
  <si>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</si>
  <si>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</si>
  <si>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</si>
  <si>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</si>
  <si>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2026/2026</t>
  </si>
  <si>
    <t>5143-20</t>
  </si>
  <si>
    <t>AUXILIAR SERV. GERAIS</t>
  </si>
  <si>
    <t xml:space="preserve">Conjunto composto por camisa e calça ou peças equivalentes, confeccionado em tecido misto (algodão/poliéster ou similar), gramatura média, costuras reforçadas, tamanhos variados. </t>
  </si>
  <si>
    <t>Município de Poconé/MT</t>
  </si>
  <si>
    <t>Pregão Eletrônico nº 5/2025</t>
  </si>
  <si>
    <t>AUXILIAR DE SERVIÇOS GERAIS</t>
  </si>
  <si>
    <t>Município de Britania/GO</t>
  </si>
  <si>
    <t>Pregão Presencial nº 8428</t>
  </si>
  <si>
    <t>Escola de Especialistas da Aueronáutica</t>
  </si>
  <si>
    <t>Processo nº 0001 - NFE nº 968</t>
  </si>
  <si>
    <t>Nota:</t>
  </si>
  <si>
    <t>O detalhamento completo da pesquisa de preços pode ser verificada no link:</t>
  </si>
  <si>
    <t>https://verificador.bdsgp.com.br/?q=ZOAsPAZe7PoRkvkY</t>
  </si>
  <si>
    <t>Total para 12 meses</t>
  </si>
  <si>
    <t>Bota PVC cano longo</t>
  </si>
  <si>
    <t>Pregão Eletrônico nº 10/2025</t>
  </si>
  <si>
    <t>Pregão Eletrônico nº 67/2025</t>
  </si>
  <si>
    <t>Processo nº 0001 NFE 869134</t>
  </si>
  <si>
    <t>Pregão Eletrônico nº 35/2025</t>
  </si>
  <si>
    <t>Luvas proteção latex (pares)</t>
  </si>
  <si>
    <t>Pregão Eletrônico nº 44/2025</t>
  </si>
  <si>
    <t>Pregão Eletrônico nº 25/2025</t>
  </si>
  <si>
    <t>Pregão Eletrônico nº 2/2025</t>
  </si>
  <si>
    <t>Processo nº 0001 NFE 99</t>
  </si>
  <si>
    <t>Máscara PFF2</t>
  </si>
  <si>
    <t>Pregão Eletrônico nº 78/2025</t>
  </si>
  <si>
    <t>Pregão Eletrônico nº 40/2025</t>
  </si>
  <si>
    <t xml:space="preserve"> Pregão Eletrônico nº 13/2025</t>
  </si>
  <si>
    <t>Pregão Eletrônico nº 31/2025</t>
  </si>
  <si>
    <t>Pregão Eletrônico nº 50/2025</t>
  </si>
  <si>
    <t>Óculos proteção</t>
  </si>
  <si>
    <t>Pregão Eletrônico nº 15/2025</t>
  </si>
  <si>
    <t>Pregão Eletrônico nº 579/2025</t>
  </si>
  <si>
    <t>Dispensa nº 39673/2025</t>
  </si>
  <si>
    <t>O detalhamento completo da pesquisa de preços pode ser verificada no link ou código QR:</t>
  </si>
  <si>
    <t>PLANILHA DE CUSTOS E FORMAÇÃO DE PREÇOS DO AUXILIAR DE SERVIÇOS GERAIS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</si>
</sst>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510">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1" xfId="0" applyFont="1" applyBorder="1" applyAlignment="1">
      <alignment horizontal="center" vertical="center"/>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0" fontId="44" fillId="0" borderId="43" xfId="0" applyFont="1" applyBorder="1" applyAlignment="1">
      <alignment vertical="top"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2" fillId="0" borderId="0" xfId="0" applyFont="1" applyAlignment="1">
      <alignment vertical="center"/>
    </xf>
    <xf numFmtId="0" fontId="39" fillId="0" borderId="0" xfId="0" applyFont="1" applyAlignment="1">
      <alignment vertical="center" wrapText="1"/>
    </xf>
    <xf numFmtId="167" fontId="40" fillId="2" borderId="25" xfId="0" applyNumberFormat="1" applyFont="1" applyFill="1" applyBorder="1" applyAlignment="1">
      <alignment horizontal="center" vertical="center"/>
    </xf>
    <xf numFmtId="0" fontId="39" fillId="0" borderId="6" xfId="0" applyFont="1" applyBorder="1" applyAlignment="1">
      <alignment vertical="center"/>
    </xf>
    <xf numFmtId="0" fontId="34" fillId="0" borderId="42" xfId="0" applyFont="1" applyBorder="1" applyAlignment="1">
      <alignment vertical="center"/>
    </xf>
    <xf numFmtId="0" fontId="42" fillId="0" borderId="42" xfId="0" applyFont="1" applyBorder="1" applyAlignment="1">
      <alignment vertical="center"/>
    </xf>
    <xf numFmtId="0" fontId="46" fillId="0" borderId="0" xfId="0" applyFont="1" applyAlignment="1">
      <alignment vertical="center"/>
    </xf>
    <xf numFmtId="0" fontId="40" fillId="2" borderId="55"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47" fillId="2" borderId="1"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5" xfId="0" applyFont="1" applyFill="1" applyBorder="1" applyAlignment="1">
      <alignment horizontal="center" vertical="center"/>
    </xf>
    <xf numFmtId="167" fontId="36" fillId="0" borderId="5" xfId="0" applyNumberFormat="1" applyFont="1" applyBorder="1" applyAlignment="1">
      <alignment vertical="center"/>
    </xf>
    <xf numFmtId="167" fontId="47" fillId="2" borderId="5" xfId="0" applyNumberFormat="1" applyFont="1" applyFill="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0" fontId="40" fillId="2" borderId="1" xfId="0" applyFont="1" applyFill="1" applyBorder="1" applyAlignment="1">
      <alignment horizontal="left" vertical="center"/>
    </xf>
    <xf numFmtId="0" fontId="40" fillId="2" borderId="43" xfId="0" applyFont="1" applyFill="1" applyBorder="1" applyAlignment="1">
      <alignment horizontal="center" vertical="center" wrapText="1"/>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42" fillId="0" borderId="34" xfId="0" applyFont="1" applyBorder="1" applyAlignment="1">
      <alignment horizontal="center" vertical="center"/>
    </xf>
    <xf numFmtId="0" fontId="34" fillId="0" borderId="0" xfId="0" applyFont="1" applyAlignment="1">
      <alignment vertical="center"/>
    </xf>
    <xf numFmtId="0" fontId="39" fillId="0" borderId="14" xfId="0" applyFont="1" applyBorder="1" applyAlignment="1">
      <alignment vertical="center"/>
    </xf>
    <xf numFmtId="0" fontId="42" fillId="0" borderId="23" xfId="0" applyFont="1" applyBorder="1" applyAlignment="1">
      <alignment vertical="center"/>
    </xf>
    <xf numFmtId="0" fontId="42" fillId="0" borderId="2" xfId="0" applyFont="1" applyBorder="1" applyAlignment="1">
      <alignment vertical="center"/>
    </xf>
    <xf numFmtId="0" fontId="12" fillId="0" borderId="23" xfId="4" applyBorder="1" applyAlignment="1">
      <alignment vertical="center"/>
    </xf>
    <xf numFmtId="0" fontId="45" fillId="4" borderId="64" xfId="0" applyFont="1" applyFill="1" applyBorder="1" applyAlignment="1">
      <alignment horizontal="center" vertical="center"/>
    </xf>
    <xf numFmtId="0" fontId="42" fillId="0" borderId="1" xfId="0" applyFont="1" applyBorder="1" applyAlignment="1">
      <alignment vertical="center"/>
    </xf>
    <xf numFmtId="0" fontId="45" fillId="4" borderId="1" xfId="0" applyFont="1" applyFill="1" applyBorder="1" applyAlignment="1">
      <alignment horizontal="center" vertical="center"/>
    </xf>
    <xf numFmtId="167" fontId="42" fillId="0" borderId="5" xfId="0" applyNumberFormat="1" applyFont="1" applyBorder="1" applyAlignment="1">
      <alignment vertical="center"/>
    </xf>
    <xf numFmtId="0" fontId="42" fillId="0" borderId="1" xfId="0" applyFont="1" applyBorder="1" applyAlignment="1">
      <alignment vertical="center" wrapText="1"/>
    </xf>
    <xf numFmtId="0" fontId="12" fillId="0" borderId="1" xfId="4"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0" xfId="0" applyFont="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3" fillId="0" borderId="1" xfId="0" applyFont="1" applyBorder="1" applyAlignment="1">
      <alignment horizontal="left" vertical="center" wrapText="1"/>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8"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5" fillId="3" borderId="23" xfId="0" applyFont="1" applyFill="1" applyBorder="1" applyAlignment="1">
      <alignment horizontal="center"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4" fontId="18" fillId="0" borderId="1" xfId="7" applyNumberFormat="1" applyFont="1" applyBorder="1" applyAlignment="1" applyProtection="1">
      <alignment vertical="center"/>
    </xf>
    <xf numFmtId="0" fontId="15" fillId="3" borderId="14" xfId="0" applyFont="1" applyFill="1" applyBorder="1" applyAlignment="1">
      <alignment horizontal="left" vertical="center"/>
    </xf>
    <xf numFmtId="0" fontId="15" fillId="3" borderId="2" xfId="0" applyFont="1" applyFill="1" applyBorder="1" applyAlignment="1">
      <alignment horizontal="left" vertical="center"/>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0" fontId="15" fillId="3" borderId="23"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40" fillId="2" borderId="27"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1" xfId="0" applyFont="1" applyFill="1" applyBorder="1" applyAlignment="1">
      <alignment horizontal="left"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40" fillId="2" borderId="3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50"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32" xfId="0" applyFont="1" applyFill="1" applyBorder="1" applyAlignment="1">
      <alignment horizontal="center" vertical="center" wrapText="1"/>
    </xf>
    <xf numFmtId="0" fontId="40" fillId="2" borderId="43" xfId="0" applyFont="1" applyFill="1" applyBorder="1" applyAlignment="1">
      <alignment horizontal="center"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horizontal="center" vertical="center" wrapText="1"/>
    </xf>
    <xf numFmtId="0" fontId="40" fillId="2" borderId="5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54"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40" fillId="2" borderId="21" xfId="0" applyFont="1" applyFill="1" applyBorder="1" applyAlignment="1">
      <alignment horizontal="center" vertical="center" wrapText="1"/>
    </xf>
    <xf numFmtId="0" fontId="40" fillId="2" borderId="56" xfId="0" applyFont="1" applyFill="1" applyBorder="1" applyAlignment="1">
      <alignment horizontal="center" vertical="center" wrapText="1"/>
    </xf>
    <xf numFmtId="0" fontId="43" fillId="6" borderId="6" xfId="0" applyFont="1" applyFill="1" applyBorder="1" applyAlignment="1">
      <alignment horizontal="center" vertical="center"/>
    </xf>
    <xf numFmtId="0" fontId="43" fillId="6" borderId="0" xfId="0" applyFont="1" applyFill="1" applyAlignment="1">
      <alignment horizontal="center" vertical="center"/>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36" fillId="0" borderId="4" xfId="0" applyFont="1" applyBorder="1" applyAlignment="1">
      <alignment horizontal="center" vertical="center"/>
    </xf>
    <xf numFmtId="0" fontId="42" fillId="0" borderId="17" xfId="0" applyFont="1" applyBorder="1" applyAlignment="1">
      <alignment horizontal="center" vertical="center"/>
    </xf>
    <xf numFmtId="0" fontId="42" fillId="0" borderId="62" xfId="0" applyFont="1" applyBorder="1" applyAlignment="1">
      <alignment horizontal="center" vertical="center"/>
    </xf>
    <xf numFmtId="0" fontId="42" fillId="0" borderId="24" xfId="0" applyFont="1" applyBorder="1" applyAlignment="1">
      <alignment horizontal="center" vertical="center"/>
    </xf>
    <xf numFmtId="0" fontId="43" fillId="4" borderId="6" xfId="0" applyFont="1" applyFill="1" applyBorder="1" applyAlignment="1">
      <alignment horizontal="center" vertical="center"/>
    </xf>
    <xf numFmtId="0" fontId="43" fillId="4" borderId="0" xfId="0" applyFont="1" applyFill="1" applyAlignment="1">
      <alignment horizontal="center" vertical="center"/>
    </xf>
    <xf numFmtId="167" fontId="42" fillId="0" borderId="65" xfId="0" applyNumberFormat="1" applyFont="1" applyBorder="1" applyAlignment="1">
      <alignment horizontal="center" vertical="center"/>
    </xf>
    <xf numFmtId="167" fontId="42" fillId="0" borderId="66" xfId="0" applyNumberFormat="1" applyFont="1" applyBorder="1" applyAlignment="1">
      <alignment horizontal="center" vertical="center"/>
    </xf>
    <xf numFmtId="167" fontId="42" fillId="0" borderId="67" xfId="0" applyNumberFormat="1" applyFont="1" applyBorder="1" applyAlignment="1">
      <alignment horizontal="center" vertical="center"/>
    </xf>
    <xf numFmtId="167" fontId="36" fillId="0" borderId="65" xfId="0" applyNumberFormat="1" applyFont="1" applyBorder="1" applyAlignment="1">
      <alignment horizontal="center" vertical="center"/>
    </xf>
    <xf numFmtId="167" fontId="36" fillId="0" borderId="66" xfId="0" applyNumberFormat="1" applyFont="1" applyBorder="1" applyAlignment="1">
      <alignment horizontal="center" vertical="center"/>
    </xf>
    <xf numFmtId="167" fontId="36" fillId="0" borderId="67" xfId="0" applyNumberFormat="1" applyFont="1" applyBorder="1" applyAlignment="1">
      <alignment horizontal="center" vertical="center"/>
    </xf>
    <xf numFmtId="0" fontId="45" fillId="4" borderId="17" xfId="0" applyFont="1" applyFill="1" applyBorder="1" applyAlignment="1">
      <alignment horizontal="center" vertical="center"/>
    </xf>
    <xf numFmtId="0" fontId="45" fillId="4" borderId="62" xfId="0" applyFont="1" applyFill="1" applyBorder="1" applyAlignment="1">
      <alignment horizontal="center" vertical="center"/>
    </xf>
    <xf numFmtId="0" fontId="45" fillId="4" borderId="24" xfId="0" applyFont="1" applyFill="1" applyBorder="1" applyAlignment="1">
      <alignment horizontal="center" vertical="center"/>
    </xf>
    <xf numFmtId="0" fontId="45" fillId="4" borderId="63"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46" xfId="0" applyFont="1" applyFill="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FB56446F-D81B-2C5D-366D-466F03595EA3}"/>
            </a:ext>
          </a:extLst>
        </xdr:cNvPr>
        <xdr:cNvPicPr>
          <a:picLocks noChangeAspect="1"/>
        </xdr:cNvPicPr>
      </xdr:nvPicPr>
      <xdr:blipFill>
        <a:blip xmlns:r="http://schemas.openxmlformats.org/officeDocument/2006/relationships" r:embed="rId1"/>
        <a:stretch>
          <a:fillRect/>
        </a:stretch>
      </xdr:blipFill>
      <xdr:spPr>
        <a:xfrm>
          <a:off x="5219700" y="4667250"/>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24</xdr:row>
      <xdr:rowOff>38100</xdr:rowOff>
    </xdr:from>
    <xdr:to>
      <xdr:col>4</xdr:col>
      <xdr:colOff>371620</xdr:colOff>
      <xdr:row>29</xdr:row>
      <xdr:rowOff>47766</xdr:rowOff>
    </xdr:to>
    <xdr:pic>
      <xdr:nvPicPr>
        <xdr:cNvPr id="2" name="Imagem 1">
          <a:extLst>
            <a:ext uri="{FF2B5EF4-FFF2-40B4-BE49-F238E27FC236}">
              <a16:creationId xmlns:a16="http://schemas.microsoft.com/office/drawing/2014/main" id="{20D5A447-29C7-40FB-BB0A-7436BEC6FF03}"/>
            </a:ext>
          </a:extLst>
        </xdr:cNvPr>
        <xdr:cNvPicPr>
          <a:picLocks noChangeAspect="1"/>
        </xdr:cNvPicPr>
      </xdr:nvPicPr>
      <xdr:blipFill>
        <a:blip xmlns:r="http://schemas.openxmlformats.org/officeDocument/2006/relationships" r:embed="rId1"/>
        <a:stretch>
          <a:fillRect/>
        </a:stretch>
      </xdr:blipFill>
      <xdr:spPr>
        <a:xfrm>
          <a:off x="2809875" y="5010150"/>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tabSelected="1" topLeftCell="A121" zoomScaleNormal="100" workbookViewId="0">
      <selection activeCell="E110" sqref="E110"/>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9" t="s">
        <v>401</v>
      </c>
      <c r="C2" s="280"/>
      <c r="D2" s="280"/>
      <c r="E2" s="281"/>
    </row>
    <row r="3" spans="2:6" ht="18" customHeight="1">
      <c r="B3" s="299" t="s">
        <v>0</v>
      </c>
      <c r="C3" s="300"/>
      <c r="D3" s="300"/>
      <c r="E3" s="301"/>
    </row>
    <row r="4" spans="2:6">
      <c r="B4" s="20">
        <v>1</v>
      </c>
      <c r="C4" s="2" t="s">
        <v>357</v>
      </c>
      <c r="D4" s="302" t="s">
        <v>367</v>
      </c>
      <c r="E4" s="303"/>
    </row>
    <row r="5" spans="2:6" ht="18" customHeight="1">
      <c r="B5" s="20">
        <v>2</v>
      </c>
      <c r="C5" s="2" t="s">
        <v>1</v>
      </c>
      <c r="D5" s="304" t="s">
        <v>366</v>
      </c>
      <c r="E5" s="305"/>
    </row>
    <row r="6" spans="2:6" ht="18" customHeight="1">
      <c r="B6" s="20">
        <v>3</v>
      </c>
      <c r="C6" s="2" t="s">
        <v>2</v>
      </c>
      <c r="D6" s="306">
        <v>1651</v>
      </c>
      <c r="E6" s="307"/>
      <c r="F6" s="12"/>
    </row>
    <row r="7" spans="2:6">
      <c r="B7" s="20">
        <v>4</v>
      </c>
      <c r="C7" s="2" t="s">
        <v>3</v>
      </c>
      <c r="D7" s="308">
        <v>0</v>
      </c>
      <c r="E7" s="309"/>
    </row>
    <row r="8" spans="2:6" ht="18" customHeight="1">
      <c r="B8" s="20">
        <v>5</v>
      </c>
      <c r="C8" s="2" t="s">
        <v>4</v>
      </c>
      <c r="D8" s="310">
        <v>46027</v>
      </c>
      <c r="E8" s="311"/>
    </row>
    <row r="9" spans="2:6" ht="18" customHeight="1">
      <c r="B9" s="20">
        <v>6</v>
      </c>
      <c r="C9" s="2" t="s">
        <v>5</v>
      </c>
      <c r="D9" s="310" t="s">
        <v>365</v>
      </c>
      <c r="E9" s="311"/>
    </row>
    <row r="10" spans="2:6" ht="13.5" thickBot="1">
      <c r="B10" s="21"/>
      <c r="E10" s="22"/>
    </row>
    <row r="11" spans="2:6" ht="18" customHeight="1" thickBot="1">
      <c r="B11" s="279" t="s">
        <v>6</v>
      </c>
      <c r="C11" s="280"/>
      <c r="D11" s="280"/>
      <c r="E11" s="281"/>
    </row>
    <row r="12" spans="2:6" ht="18" customHeight="1">
      <c r="B12" s="241">
        <v>1</v>
      </c>
      <c r="C12" s="300" t="s">
        <v>7</v>
      </c>
      <c r="D12" s="300"/>
      <c r="E12" s="242" t="s">
        <v>8</v>
      </c>
    </row>
    <row r="13" spans="2:6" ht="18" customHeight="1">
      <c r="B13" s="24" t="s">
        <v>9</v>
      </c>
      <c r="C13" s="272" t="s">
        <v>10</v>
      </c>
      <c r="D13" s="272"/>
      <c r="E13" s="25">
        <v>1651</v>
      </c>
      <c r="F13" s="12"/>
    </row>
    <row r="14" spans="2:6" ht="18" customHeight="1">
      <c r="B14" s="24" t="s">
        <v>11</v>
      </c>
      <c r="C14" s="272" t="s">
        <v>12</v>
      </c>
      <c r="D14" s="272"/>
      <c r="E14" s="25">
        <v>0</v>
      </c>
    </row>
    <row r="15" spans="2:6" ht="18" customHeight="1">
      <c r="B15" s="24" t="s">
        <v>13</v>
      </c>
      <c r="C15" s="272" t="s">
        <v>14</v>
      </c>
      <c r="D15" s="272"/>
      <c r="E15" s="25">
        <v>0</v>
      </c>
    </row>
    <row r="16" spans="2:6" ht="18" customHeight="1">
      <c r="B16" s="24" t="s">
        <v>15</v>
      </c>
      <c r="C16" s="272" t="s">
        <v>16</v>
      </c>
      <c r="D16" s="272"/>
      <c r="E16" s="25">
        <v>0</v>
      </c>
    </row>
    <row r="17" spans="2:5" ht="18" customHeight="1">
      <c r="B17" s="24" t="s">
        <v>17</v>
      </c>
      <c r="C17" s="272" t="s">
        <v>18</v>
      </c>
      <c r="D17" s="272"/>
      <c r="E17" s="25">
        <v>0</v>
      </c>
    </row>
    <row r="18" spans="2:5" ht="18" customHeight="1">
      <c r="B18" s="24" t="s">
        <v>19</v>
      </c>
      <c r="C18" s="272" t="s">
        <v>20</v>
      </c>
      <c r="D18" s="272"/>
      <c r="E18" s="25">
        <v>0</v>
      </c>
    </row>
    <row r="19" spans="2:5" ht="18" customHeight="1">
      <c r="B19" s="270" t="s">
        <v>21</v>
      </c>
      <c r="C19" s="271"/>
      <c r="D19" s="271"/>
      <c r="E19" s="26">
        <f>SUM(E13:E18)</f>
        <v>1651</v>
      </c>
    </row>
    <row r="20" spans="2:5" ht="27.75" customHeight="1">
      <c r="B20" s="294" t="s">
        <v>22</v>
      </c>
      <c r="C20" s="295"/>
      <c r="D20" s="295"/>
      <c r="E20" s="296"/>
    </row>
    <row r="21" spans="2:5" ht="13.5" thickBot="1">
      <c r="B21" s="21"/>
      <c r="E21" s="22"/>
    </row>
    <row r="22" spans="2:5" ht="18" customHeight="1" thickBot="1">
      <c r="B22" s="279" t="s">
        <v>23</v>
      </c>
      <c r="C22" s="280"/>
      <c r="D22" s="280"/>
      <c r="E22" s="281"/>
    </row>
    <row r="23" spans="2:5" ht="18" customHeight="1">
      <c r="B23" s="276" t="s">
        <v>24</v>
      </c>
      <c r="C23" s="277"/>
      <c r="D23" s="277"/>
      <c r="E23" s="293"/>
    </row>
    <row r="24" spans="2:5" ht="18" customHeight="1">
      <c r="B24" s="38" t="s">
        <v>25</v>
      </c>
      <c r="C24" s="39" t="s">
        <v>26</v>
      </c>
      <c r="D24" s="16" t="s">
        <v>27</v>
      </c>
      <c r="E24" s="40" t="s">
        <v>8</v>
      </c>
    </row>
    <row r="25" spans="2:5" ht="18" customHeight="1">
      <c r="B25" s="24" t="s">
        <v>9</v>
      </c>
      <c r="C25" s="3" t="s">
        <v>28</v>
      </c>
      <c r="D25" s="4">
        <f>(1/12)</f>
        <v>8.3333333333333329E-2</v>
      </c>
      <c r="E25" s="25">
        <f>D25*$E$19</f>
        <v>137.58333333333331</v>
      </c>
    </row>
    <row r="26" spans="2:5" ht="18" customHeight="1">
      <c r="B26" s="24" t="s">
        <v>11</v>
      </c>
      <c r="C26" s="3" t="s">
        <v>29</v>
      </c>
      <c r="D26" s="249">
        <f>(1/12)+((1/3)*(1/12))</f>
        <v>0.1111111111111111</v>
      </c>
      <c r="E26" s="25">
        <f>D26*$E$19</f>
        <v>183.44444444444443</v>
      </c>
    </row>
    <row r="27" spans="2:5" ht="18" customHeight="1">
      <c r="B27" s="270" t="s">
        <v>21</v>
      </c>
      <c r="C27" s="271"/>
      <c r="D27" s="5">
        <f t="shared" ref="D27:E27" si="0">SUM(D25:D26)</f>
        <v>0.19444444444444442</v>
      </c>
      <c r="E27" s="27">
        <f t="shared" si="0"/>
        <v>321.02777777777771</v>
      </c>
    </row>
    <row r="28" spans="2:5" ht="46.5" customHeight="1">
      <c r="B28" s="282" t="s">
        <v>361</v>
      </c>
      <c r="C28" s="275"/>
      <c r="D28" s="275"/>
      <c r="E28" s="283"/>
    </row>
    <row r="29" spans="2:5" ht="33" customHeight="1">
      <c r="B29" s="282" t="s">
        <v>101</v>
      </c>
      <c r="C29" s="275"/>
      <c r="D29" s="275"/>
      <c r="E29" s="283"/>
    </row>
    <row r="30" spans="2:5" ht="55.5" customHeight="1">
      <c r="B30" s="312" t="s">
        <v>364</v>
      </c>
      <c r="C30" s="313"/>
      <c r="D30" s="313"/>
      <c r="E30" s="314"/>
    </row>
    <row r="31" spans="2:5">
      <c r="B31" s="21"/>
      <c r="E31" s="22"/>
    </row>
    <row r="32" spans="2:5" ht="27.75" customHeight="1">
      <c r="B32" s="290" t="s">
        <v>30</v>
      </c>
      <c r="C32" s="291"/>
      <c r="D32" s="291"/>
      <c r="E32" s="292"/>
    </row>
    <row r="33" spans="2:5" ht="18" customHeight="1">
      <c r="B33" s="19" t="s">
        <v>31</v>
      </c>
      <c r="C33" s="16" t="s">
        <v>32</v>
      </c>
      <c r="D33" s="16" t="s">
        <v>27</v>
      </c>
      <c r="E33" s="23" t="s">
        <v>8</v>
      </c>
    </row>
    <row r="34" spans="2:5" ht="18" customHeight="1">
      <c r="B34" s="24" t="s">
        <v>9</v>
      </c>
      <c r="C34" s="3" t="s">
        <v>33</v>
      </c>
      <c r="D34" s="6">
        <v>0.2</v>
      </c>
      <c r="E34" s="25">
        <f>D34*($E$19+$E$27)</f>
        <v>394.40555555555557</v>
      </c>
    </row>
    <row r="35" spans="2:5" ht="18" customHeight="1">
      <c r="B35" s="24" t="s">
        <v>11</v>
      </c>
      <c r="C35" s="3" t="s">
        <v>34</v>
      </c>
      <c r="D35" s="6">
        <v>2.5000000000000001E-2</v>
      </c>
      <c r="E35" s="25">
        <f t="shared" ref="E35:E41" si="1">D35*($E$19+$E$27)</f>
        <v>49.300694444444446</v>
      </c>
    </row>
    <row r="36" spans="2:5" ht="18" customHeight="1">
      <c r="B36" s="24" t="s">
        <v>13</v>
      </c>
      <c r="C36" s="3" t="s">
        <v>35</v>
      </c>
      <c r="D36" s="6">
        <v>0.03</v>
      </c>
      <c r="E36" s="25">
        <f t="shared" si="1"/>
        <v>59.160833333333329</v>
      </c>
    </row>
    <row r="37" spans="2:5" ht="18" customHeight="1">
      <c r="B37" s="24" t="s">
        <v>15</v>
      </c>
      <c r="C37" s="3" t="s">
        <v>36</v>
      </c>
      <c r="D37" s="6">
        <v>1.4999999999999999E-2</v>
      </c>
      <c r="E37" s="25">
        <f t="shared" si="1"/>
        <v>29.580416666666665</v>
      </c>
    </row>
    <row r="38" spans="2:5" ht="18" customHeight="1">
      <c r="B38" s="24" t="s">
        <v>17</v>
      </c>
      <c r="C38" s="3" t="s">
        <v>37</v>
      </c>
      <c r="D38" s="6">
        <v>0.01</v>
      </c>
      <c r="E38" s="25">
        <f t="shared" si="1"/>
        <v>19.720277777777778</v>
      </c>
    </row>
    <row r="39" spans="2:5" ht="18" customHeight="1">
      <c r="B39" s="24" t="s">
        <v>19</v>
      </c>
      <c r="C39" s="3" t="s">
        <v>38</v>
      </c>
      <c r="D39" s="6">
        <v>6.0000000000000001E-3</v>
      </c>
      <c r="E39" s="25">
        <f t="shared" si="1"/>
        <v>11.832166666666668</v>
      </c>
    </row>
    <row r="40" spans="2:5" ht="18" customHeight="1">
      <c r="B40" s="24" t="s">
        <v>39</v>
      </c>
      <c r="C40" s="3" t="s">
        <v>40</v>
      </c>
      <c r="D40" s="6">
        <v>2E-3</v>
      </c>
      <c r="E40" s="25">
        <f t="shared" si="1"/>
        <v>3.9440555555555559</v>
      </c>
    </row>
    <row r="41" spans="2:5" ht="18" customHeight="1">
      <c r="B41" s="24" t="s">
        <v>41</v>
      </c>
      <c r="C41" s="3" t="s">
        <v>42</v>
      </c>
      <c r="D41" s="6">
        <v>0.08</v>
      </c>
      <c r="E41" s="25">
        <f t="shared" si="1"/>
        <v>157.76222222222222</v>
      </c>
    </row>
    <row r="42" spans="2:5" ht="18" customHeight="1">
      <c r="B42" s="270" t="s">
        <v>21</v>
      </c>
      <c r="C42" s="271"/>
      <c r="D42" s="17">
        <f>SUM(D34:D41)</f>
        <v>0.36800000000000005</v>
      </c>
      <c r="E42" s="27">
        <f>SUM(E34:E41)</f>
        <v>725.70622222222232</v>
      </c>
    </row>
    <row r="43" spans="2:5" ht="43.5" customHeight="1">
      <c r="B43" s="282" t="s">
        <v>102</v>
      </c>
      <c r="C43" s="275"/>
      <c r="D43" s="275"/>
      <c r="E43" s="283"/>
    </row>
    <row r="44" spans="2:5" ht="42.75" customHeight="1">
      <c r="B44" s="282" t="s">
        <v>43</v>
      </c>
      <c r="C44" s="275"/>
      <c r="D44" s="275"/>
      <c r="E44" s="283"/>
    </row>
    <row r="45" spans="2:5" ht="36" customHeight="1">
      <c r="B45" s="282" t="s">
        <v>44</v>
      </c>
      <c r="C45" s="275"/>
      <c r="D45" s="275"/>
      <c r="E45" s="283"/>
    </row>
    <row r="46" spans="2:5" ht="29.25" customHeight="1">
      <c r="B46" s="282" t="s">
        <v>362</v>
      </c>
      <c r="C46" s="275"/>
      <c r="D46" s="275"/>
      <c r="E46" s="283"/>
    </row>
    <row r="47" spans="2:5">
      <c r="B47" s="21"/>
      <c r="E47" s="22"/>
    </row>
    <row r="48" spans="2:5" ht="18" customHeight="1">
      <c r="B48" s="290" t="s">
        <v>45</v>
      </c>
      <c r="C48" s="291"/>
      <c r="D48" s="291"/>
      <c r="E48" s="292"/>
    </row>
    <row r="49" spans="2:6" ht="18" customHeight="1">
      <c r="B49" s="19" t="s">
        <v>46</v>
      </c>
      <c r="C49" s="16" t="s">
        <v>47</v>
      </c>
      <c r="D49" s="16" t="s">
        <v>48</v>
      </c>
      <c r="E49" s="23" t="s">
        <v>8</v>
      </c>
      <c r="F49" s="1" t="s">
        <v>307</v>
      </c>
    </row>
    <row r="50" spans="2:6" ht="18" customHeight="1">
      <c r="B50" s="24" t="s">
        <v>9</v>
      </c>
      <c r="C50" s="2" t="s">
        <v>355</v>
      </c>
      <c r="D50" s="7" t="s">
        <v>112</v>
      </c>
      <c r="E50" s="25">
        <v>0</v>
      </c>
      <c r="F50" s="209" t="e">
        <f>ROUND(((3.8+5.5)*2*D50)-(0.06*$E$13),2)</f>
        <v>#VALUE!</v>
      </c>
    </row>
    <row r="51" spans="2:6" ht="18" customHeight="1">
      <c r="B51" s="24" t="s">
        <v>11</v>
      </c>
      <c r="C51" s="3" t="s">
        <v>356</v>
      </c>
      <c r="D51" s="7" t="s">
        <v>112</v>
      </c>
      <c r="E51" s="25">
        <f>'DETALHAMENTO ALIMENTAÇÃO'!G10</f>
        <v>0</v>
      </c>
      <c r="F51" s="209" t="e">
        <f>ROUND((42.2)*D51,2)</f>
        <v>#VALUE!</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70" t="s">
        <v>21</v>
      </c>
      <c r="C55" s="271"/>
      <c r="D55" s="271"/>
      <c r="E55" s="27">
        <f>SUM(E50:E54)</f>
        <v>0</v>
      </c>
    </row>
    <row r="56" spans="2:6" ht="25.5" customHeight="1">
      <c r="B56" s="282" t="s">
        <v>52</v>
      </c>
      <c r="C56" s="275"/>
      <c r="D56" s="275"/>
      <c r="E56" s="283"/>
    </row>
    <row r="57" spans="2:6" ht="25.5" customHeight="1">
      <c r="B57" s="282" t="s">
        <v>53</v>
      </c>
      <c r="C57" s="275"/>
      <c r="D57" s="275"/>
      <c r="E57" s="283"/>
    </row>
    <row r="58" spans="2:6">
      <c r="B58" s="21"/>
      <c r="E58" s="22"/>
    </row>
    <row r="59" spans="2:6" ht="18" customHeight="1">
      <c r="B59" s="290" t="s">
        <v>54</v>
      </c>
      <c r="C59" s="291"/>
      <c r="D59" s="291"/>
      <c r="E59" s="292"/>
    </row>
    <row r="60" spans="2:6" ht="18" customHeight="1">
      <c r="B60" s="19">
        <v>2</v>
      </c>
      <c r="C60" s="271" t="s">
        <v>55</v>
      </c>
      <c r="D60" s="271"/>
      <c r="E60" s="23" t="s">
        <v>8</v>
      </c>
    </row>
    <row r="61" spans="2:6" ht="18" customHeight="1">
      <c r="B61" s="24" t="s">
        <v>25</v>
      </c>
      <c r="C61" s="278" t="s">
        <v>26</v>
      </c>
      <c r="D61" s="278"/>
      <c r="E61" s="25">
        <f>E27</f>
        <v>321.02777777777771</v>
      </c>
    </row>
    <row r="62" spans="2:6" ht="18" customHeight="1">
      <c r="B62" s="24" t="s">
        <v>31</v>
      </c>
      <c r="C62" s="272" t="s">
        <v>32</v>
      </c>
      <c r="D62" s="272"/>
      <c r="E62" s="25">
        <f>E42</f>
        <v>725.70622222222232</v>
      </c>
    </row>
    <row r="63" spans="2:6" ht="18" customHeight="1">
      <c r="B63" s="24" t="s">
        <v>46</v>
      </c>
      <c r="C63" s="272" t="s">
        <v>47</v>
      </c>
      <c r="D63" s="272"/>
      <c r="E63" s="25">
        <f>E55</f>
        <v>0</v>
      </c>
    </row>
    <row r="64" spans="2:6" ht="18" customHeight="1">
      <c r="B64" s="270" t="s">
        <v>21</v>
      </c>
      <c r="C64" s="271"/>
      <c r="D64" s="271"/>
      <c r="E64" s="27">
        <f>SUM(E61:E63)</f>
        <v>1046.7339999999999</v>
      </c>
    </row>
    <row r="65" spans="2:13" ht="13.5" thickBot="1">
      <c r="B65" s="21"/>
      <c r="E65" s="22"/>
      <c r="M65" s="41"/>
    </row>
    <row r="66" spans="2:13" ht="18" customHeight="1" thickBot="1">
      <c r="B66" s="279" t="s">
        <v>56</v>
      </c>
      <c r="C66" s="280"/>
      <c r="D66" s="280"/>
      <c r="E66" s="281"/>
      <c r="M66" s="41"/>
    </row>
    <row r="67" spans="2:13" ht="18" customHeight="1">
      <c r="B67" s="241">
        <v>3</v>
      </c>
      <c r="C67" s="243" t="s">
        <v>57</v>
      </c>
      <c r="D67" s="243" t="s">
        <v>27</v>
      </c>
      <c r="E67" s="240" t="s">
        <v>8</v>
      </c>
      <c r="M67" s="41"/>
    </row>
    <row r="68" spans="2:13" ht="18" customHeight="1">
      <c r="B68" s="24" t="s">
        <v>9</v>
      </c>
      <c r="C68" s="2" t="s">
        <v>58</v>
      </c>
      <c r="D68" s="14">
        <f>((1/12)*0.05)</f>
        <v>4.1666666666666666E-3</v>
      </c>
      <c r="E68" s="25">
        <f t="shared" ref="E68:E73" si="2">D68*($E$19)</f>
        <v>6.8791666666666664</v>
      </c>
    </row>
    <row r="69" spans="2:13" ht="18" customHeight="1">
      <c r="B69" s="24" t="s">
        <v>11</v>
      </c>
      <c r="C69" s="2" t="s">
        <v>59</v>
      </c>
      <c r="D69" s="14">
        <f>D41*D68</f>
        <v>3.3333333333333332E-4</v>
      </c>
      <c r="E69" s="25">
        <f t="shared" si="2"/>
        <v>0.55033333333333334</v>
      </c>
    </row>
    <row r="70" spans="2:13" ht="18" customHeight="1">
      <c r="B70" s="24" t="s">
        <v>13</v>
      </c>
      <c r="C70" s="2" t="s">
        <v>103</v>
      </c>
      <c r="D70" s="14">
        <f>(0.08)*(0.4)*(0.9)*(1+(1/12)+(1/12)+(1/3*1/12))</f>
        <v>3.4399999999999993E-2</v>
      </c>
      <c r="E70" s="25">
        <f t="shared" si="2"/>
        <v>56.794399999999989</v>
      </c>
      <c r="M70" s="41"/>
    </row>
    <row r="71" spans="2:13" ht="18" customHeight="1">
      <c r="B71" s="24" t="s">
        <v>15</v>
      </c>
      <c r="C71" s="2" t="s">
        <v>60</v>
      </c>
      <c r="D71" s="14">
        <f>(7/30)/12</f>
        <v>1.9444444444444445E-2</v>
      </c>
      <c r="E71" s="25">
        <f t="shared" si="2"/>
        <v>32.102777777777781</v>
      </c>
    </row>
    <row r="72" spans="2:13" ht="18" customHeight="1">
      <c r="B72" s="24" t="s">
        <v>17</v>
      </c>
      <c r="C72" s="2" t="s">
        <v>61</v>
      </c>
      <c r="D72" s="14">
        <f>D71*D42</f>
        <v>7.1555555555555565E-3</v>
      </c>
      <c r="E72" s="25">
        <f t="shared" si="2"/>
        <v>11.813822222222223</v>
      </c>
    </row>
    <row r="73" spans="2:13" ht="18" customHeight="1">
      <c r="B73" s="24" t="s">
        <v>19</v>
      </c>
      <c r="C73" s="2" t="s">
        <v>104</v>
      </c>
      <c r="D73" s="37">
        <f>(D71*D41)*0.4</f>
        <v>6.2222222222222236E-4</v>
      </c>
      <c r="E73" s="25">
        <f t="shared" si="2"/>
        <v>1.0272888888888891</v>
      </c>
    </row>
    <row r="74" spans="2:13" ht="18" customHeight="1">
      <c r="B74" s="270" t="s">
        <v>21</v>
      </c>
      <c r="C74" s="271"/>
      <c r="D74" s="13">
        <f>SUM(D68:D73)</f>
        <v>6.6122222222222207E-2</v>
      </c>
      <c r="E74" s="27">
        <f>SUM(E68:E73)</f>
        <v>109.16778888888889</v>
      </c>
    </row>
    <row r="75" spans="2:13" ht="51" customHeight="1">
      <c r="B75" s="282" t="s">
        <v>105</v>
      </c>
      <c r="C75" s="275"/>
      <c r="D75" s="275"/>
      <c r="E75" s="283"/>
    </row>
    <row r="76" spans="2:13" ht="13.5" thickBot="1">
      <c r="B76" s="21"/>
      <c r="E76" s="22"/>
    </row>
    <row r="77" spans="2:13" ht="18" customHeight="1" thickBot="1">
      <c r="B77" s="279" t="s">
        <v>62</v>
      </c>
      <c r="C77" s="280"/>
      <c r="D77" s="280"/>
      <c r="E77" s="281"/>
    </row>
    <row r="78" spans="2:13" ht="44.25" customHeight="1">
      <c r="B78" s="282" t="s">
        <v>363</v>
      </c>
      <c r="C78" s="275"/>
      <c r="D78" s="275"/>
      <c r="E78" s="283"/>
    </row>
    <row r="79" spans="2:13">
      <c r="B79" s="21"/>
      <c r="E79" s="22"/>
      <c r="K79" s="1"/>
      <c r="L79" s="1"/>
      <c r="M79" s="1"/>
    </row>
    <row r="80" spans="2:13" ht="18" customHeight="1">
      <c r="B80" s="290" t="s">
        <v>63</v>
      </c>
      <c r="C80" s="291"/>
      <c r="D80" s="291"/>
      <c r="E80" s="292"/>
    </row>
    <row r="81" spans="2:5" ht="18" customHeight="1">
      <c r="B81" s="19" t="s">
        <v>64</v>
      </c>
      <c r="C81" s="16" t="s">
        <v>65</v>
      </c>
      <c r="D81" s="16" t="s">
        <v>27</v>
      </c>
      <c r="E81" s="23" t="s">
        <v>8</v>
      </c>
    </row>
    <row r="82" spans="2:5" ht="18" customHeight="1">
      <c r="B82" s="24" t="s">
        <v>9</v>
      </c>
      <c r="C82" s="2" t="s">
        <v>100</v>
      </c>
      <c r="D82" s="250">
        <v>8.3299999999999999E-2</v>
      </c>
      <c r="E82" s="25">
        <f t="shared" ref="E82:E88" si="3">D82*($E$19)</f>
        <v>137.5283</v>
      </c>
    </row>
    <row r="83" spans="2:5" ht="18" customHeight="1">
      <c r="B83" s="24" t="s">
        <v>11</v>
      </c>
      <c r="C83" s="2" t="s">
        <v>66</v>
      </c>
      <c r="D83" s="250">
        <f>(3/30)/12</f>
        <v>8.3333333333333332E-3</v>
      </c>
      <c r="E83" s="25">
        <f t="shared" si="3"/>
        <v>13.758333333333333</v>
      </c>
    </row>
    <row r="84" spans="2:5" ht="18" customHeight="1">
      <c r="B84" s="24" t="s">
        <v>13</v>
      </c>
      <c r="C84" s="2" t="s">
        <v>67</v>
      </c>
      <c r="D84" s="250">
        <f>((5/30)/12)*0.015</f>
        <v>2.0833333333333332E-4</v>
      </c>
      <c r="E84" s="25">
        <f t="shared" si="3"/>
        <v>0.34395833333333331</v>
      </c>
    </row>
    <row r="85" spans="2:5" ht="18" customHeight="1">
      <c r="B85" s="24" t="s">
        <v>15</v>
      </c>
      <c r="C85" s="2" t="s">
        <v>68</v>
      </c>
      <c r="D85" s="250">
        <f>(((30/30)/12)*0.0078)</f>
        <v>6.4999999999999997E-4</v>
      </c>
      <c r="E85" s="25">
        <f t="shared" si="3"/>
        <v>1.07315</v>
      </c>
    </row>
    <row r="86" spans="2:5" ht="18" customHeight="1">
      <c r="B86" s="24" t="s">
        <v>17</v>
      </c>
      <c r="C86" s="2" t="s">
        <v>69</v>
      </c>
      <c r="D86" s="250">
        <f>((0.1111*0.1781*0.5*100))/100</f>
        <v>9.8934550000000007E-3</v>
      </c>
      <c r="E86" s="25">
        <f t="shared" si="3"/>
        <v>16.334094205</v>
      </c>
    </row>
    <row r="87" spans="2:5" ht="18" customHeight="1">
      <c r="B87" s="24" t="s">
        <v>19</v>
      </c>
      <c r="C87" s="2" t="s">
        <v>347</v>
      </c>
      <c r="D87" s="250">
        <f>(5/30)/12</f>
        <v>1.3888888888888888E-2</v>
      </c>
      <c r="E87" s="25">
        <f t="shared" si="3"/>
        <v>22.930555555555554</v>
      </c>
    </row>
    <row r="88" spans="2:5" ht="18" customHeight="1">
      <c r="B88" s="24" t="s">
        <v>39</v>
      </c>
      <c r="C88" s="2" t="s">
        <v>348</v>
      </c>
      <c r="D88" s="250">
        <v>0</v>
      </c>
      <c r="E88" s="25">
        <f t="shared" si="3"/>
        <v>0</v>
      </c>
    </row>
    <row r="89" spans="2:5" ht="18" customHeight="1">
      <c r="B89" s="297" t="s">
        <v>344</v>
      </c>
      <c r="C89" s="298"/>
      <c r="D89" s="246">
        <f>SUM(D82:D88)</f>
        <v>0.11627401055555556</v>
      </c>
      <c r="E89" s="27">
        <f>SUM(E82:E88)</f>
        <v>191.96839142722223</v>
      </c>
    </row>
    <row r="90" spans="2:5" ht="18" customHeight="1">
      <c r="B90" s="24" t="s">
        <v>41</v>
      </c>
      <c r="C90" s="2" t="s">
        <v>343</v>
      </c>
      <c r="D90" s="250">
        <f>($D$89-$D$86)*((1/12)+(1/12)+(1/12*1/3))</f>
        <v>2.0685108024691357E-2</v>
      </c>
      <c r="E90" s="25">
        <f>D90*($E$19)</f>
        <v>34.151113348765428</v>
      </c>
    </row>
    <row r="91" spans="2:5" ht="18" customHeight="1">
      <c r="B91" s="297" t="s">
        <v>345</v>
      </c>
      <c r="C91" s="298"/>
      <c r="D91" s="246">
        <f>SUM(D89:D90)</f>
        <v>0.13695911858024692</v>
      </c>
      <c r="E91" s="27">
        <f>SUM(E89:E90)</f>
        <v>226.11950477598765</v>
      </c>
    </row>
    <row r="92" spans="2:5" ht="18" customHeight="1">
      <c r="B92" s="24" t="s">
        <v>131</v>
      </c>
      <c r="C92" s="2" t="s">
        <v>346</v>
      </c>
      <c r="D92" s="250">
        <f>$D$42*$D$91</f>
        <v>5.0400955637530873E-2</v>
      </c>
      <c r="E92" s="25">
        <f>D92*($E$19)</f>
        <v>83.211977757563474</v>
      </c>
    </row>
    <row r="93" spans="2:5" ht="18" customHeight="1">
      <c r="B93" s="270" t="s">
        <v>21</v>
      </c>
      <c r="C93" s="271"/>
      <c r="D93" s="251">
        <f>SUM(D91:D92)</f>
        <v>0.18736007421777778</v>
      </c>
      <c r="E93" s="27">
        <f>SUM(E91:E92)</f>
        <v>309.33148253355114</v>
      </c>
    </row>
    <row r="94" spans="2:5">
      <c r="B94" s="21"/>
      <c r="E94" s="22"/>
    </row>
    <row r="95" spans="2:5">
      <c r="B95" s="270" t="s">
        <v>70</v>
      </c>
      <c r="C95" s="271"/>
      <c r="D95" s="271"/>
      <c r="E95" s="287"/>
    </row>
    <row r="96" spans="2:5">
      <c r="B96" s="19" t="s">
        <v>71</v>
      </c>
      <c r="C96" s="16" t="s">
        <v>72</v>
      </c>
      <c r="D96" s="16" t="s">
        <v>8</v>
      </c>
      <c r="E96" s="23"/>
    </row>
    <row r="97" spans="2:10">
      <c r="B97" s="24" t="s">
        <v>9</v>
      </c>
      <c r="C97" s="2" t="s">
        <v>73</v>
      </c>
      <c r="D97" s="8">
        <v>0</v>
      </c>
      <c r="E97" s="25">
        <v>0</v>
      </c>
    </row>
    <row r="98" spans="2:10">
      <c r="B98" s="288" t="s">
        <v>21</v>
      </c>
      <c r="C98" s="289"/>
      <c r="D98" s="18">
        <f>SUM(D97)</f>
        <v>0</v>
      </c>
      <c r="E98" s="239">
        <f>SUM(E97)</f>
        <v>0</v>
      </c>
    </row>
    <row r="99" spans="2:10">
      <c r="B99" s="21"/>
      <c r="E99" s="22"/>
    </row>
    <row r="100" spans="2:10">
      <c r="B100" s="270" t="s">
        <v>74</v>
      </c>
      <c r="C100" s="271"/>
      <c r="D100" s="271"/>
      <c r="E100" s="287"/>
    </row>
    <row r="101" spans="2:10" ht="18" customHeight="1">
      <c r="B101" s="19">
        <v>4</v>
      </c>
      <c r="C101" s="271" t="s">
        <v>75</v>
      </c>
      <c r="D101" s="271"/>
      <c r="E101" s="23" t="s">
        <v>8</v>
      </c>
    </row>
    <row r="102" spans="2:10" ht="18" customHeight="1">
      <c r="B102" s="24" t="s">
        <v>64</v>
      </c>
      <c r="C102" s="272" t="s">
        <v>65</v>
      </c>
      <c r="D102" s="272"/>
      <c r="E102" s="25">
        <f>E93</f>
        <v>309.33148253355114</v>
      </c>
    </row>
    <row r="103" spans="2:10" ht="18" customHeight="1">
      <c r="B103" s="24" t="s">
        <v>71</v>
      </c>
      <c r="C103" s="272" t="s">
        <v>76</v>
      </c>
      <c r="D103" s="272"/>
      <c r="E103" s="25">
        <f>D98</f>
        <v>0</v>
      </c>
    </row>
    <row r="104" spans="2:10" ht="18" customHeight="1">
      <c r="B104" s="270" t="s">
        <v>21</v>
      </c>
      <c r="C104" s="271"/>
      <c r="D104" s="271"/>
      <c r="E104" s="27">
        <f>SUM(E102:E103)</f>
        <v>309.33148253355114</v>
      </c>
    </row>
    <row r="105" spans="2:10" ht="13.5" thickBot="1">
      <c r="B105" s="21"/>
      <c r="E105" s="22"/>
    </row>
    <row r="106" spans="2:10" ht="18" customHeight="1" thickBot="1">
      <c r="B106" s="279" t="s">
        <v>77</v>
      </c>
      <c r="C106" s="280"/>
      <c r="D106" s="280"/>
      <c r="E106" s="281"/>
    </row>
    <row r="107" spans="2:10" ht="18" customHeight="1">
      <c r="B107" s="241">
        <v>5</v>
      </c>
      <c r="C107" s="277" t="s">
        <v>78</v>
      </c>
      <c r="D107" s="277"/>
      <c r="E107" s="240" t="s">
        <v>8</v>
      </c>
    </row>
    <row r="108" spans="2:10" ht="18" customHeight="1">
      <c r="B108" s="24" t="s">
        <v>9</v>
      </c>
      <c r="C108" s="272" t="s">
        <v>79</v>
      </c>
      <c r="D108" s="272"/>
      <c r="E108" s="25">
        <v>99</v>
      </c>
      <c r="F108" s="12"/>
    </row>
    <row r="109" spans="2:10" ht="18" customHeight="1">
      <c r="B109" s="24" t="s">
        <v>11</v>
      </c>
      <c r="C109" s="272" t="s">
        <v>80</v>
      </c>
      <c r="D109" s="272"/>
      <c r="E109" s="25">
        <v>104.36</v>
      </c>
      <c r="F109"/>
      <c r="G109"/>
      <c r="H109"/>
      <c r="I109"/>
      <c r="J109"/>
    </row>
    <row r="110" spans="2:10" ht="18" customHeight="1">
      <c r="B110" s="24" t="s">
        <v>13</v>
      </c>
      <c r="C110" s="272" t="s">
        <v>81</v>
      </c>
      <c r="D110" s="272"/>
      <c r="E110" s="25">
        <v>0</v>
      </c>
      <c r="F110"/>
      <c r="G110"/>
      <c r="H110"/>
      <c r="I110"/>
      <c r="J110"/>
    </row>
    <row r="111" spans="2:10" ht="18" customHeight="1">
      <c r="B111" s="24" t="s">
        <v>15</v>
      </c>
      <c r="C111" s="272" t="s">
        <v>20</v>
      </c>
      <c r="D111" s="272"/>
      <c r="E111" s="25">
        <v>0</v>
      </c>
      <c r="F111"/>
      <c r="G111"/>
      <c r="H111"/>
      <c r="I111"/>
      <c r="J111"/>
    </row>
    <row r="112" spans="2:10" ht="18" customHeight="1">
      <c r="B112" s="270" t="s">
        <v>21</v>
      </c>
      <c r="C112" s="271"/>
      <c r="D112" s="271"/>
      <c r="E112" s="27">
        <f>SUM(E108:E111)</f>
        <v>203.36</v>
      </c>
      <c r="F112"/>
      <c r="G112"/>
      <c r="H112"/>
      <c r="I112"/>
      <c r="J112"/>
    </row>
    <row r="113" spans="2:10" ht="18" customHeight="1">
      <c r="B113" s="282" t="s">
        <v>358</v>
      </c>
      <c r="C113" s="275"/>
      <c r="D113" s="275"/>
      <c r="E113" s="283"/>
    </row>
    <row r="114" spans="2:10" ht="13.5" thickBot="1">
      <c r="B114" s="21"/>
      <c r="E114" s="22"/>
    </row>
    <row r="115" spans="2:10" ht="18" customHeight="1" thickBot="1">
      <c r="B115" s="279" t="s">
        <v>82</v>
      </c>
      <c r="C115" s="280"/>
      <c r="D115" s="280"/>
      <c r="E115" s="281"/>
    </row>
    <row r="116" spans="2:10" ht="18" customHeight="1">
      <c r="B116" s="284" t="s">
        <v>341</v>
      </c>
      <c r="C116" s="285"/>
      <c r="D116" s="285" t="s">
        <v>107</v>
      </c>
      <c r="E116" s="286"/>
    </row>
    <row r="117" spans="2:10" ht="18" customHeight="1">
      <c r="B117" s="19">
        <v>6</v>
      </c>
      <c r="C117" s="16" t="s">
        <v>83</v>
      </c>
      <c r="D117" s="16" t="s">
        <v>27</v>
      </c>
      <c r="E117" s="23" t="s">
        <v>8</v>
      </c>
    </row>
    <row r="118" spans="2:10" ht="18" customHeight="1">
      <c r="B118" s="24" t="s">
        <v>9</v>
      </c>
      <c r="C118" s="35" t="s">
        <v>84</v>
      </c>
      <c r="D118" s="36">
        <v>0.05</v>
      </c>
      <c r="E118" s="34">
        <f>$D118*E$136</f>
        <v>165.97966357112202</v>
      </c>
    </row>
    <row r="119" spans="2:10" ht="18" customHeight="1">
      <c r="B119" s="24" t="s">
        <v>11</v>
      </c>
      <c r="C119" s="35" t="s">
        <v>85</v>
      </c>
      <c r="D119" s="36">
        <v>0.1</v>
      </c>
      <c r="E119" s="34">
        <f>$D119*(E$136+E118)</f>
        <v>348.55729349935621</v>
      </c>
    </row>
    <row r="120" spans="2:10" ht="18" customHeight="1">
      <c r="B120" s="28" t="s">
        <v>13</v>
      </c>
      <c r="C120" s="9" t="s">
        <v>86</v>
      </c>
      <c r="D120" s="36">
        <f>SUM(D121:D124)</f>
        <v>0.1125</v>
      </c>
      <c r="E120" s="34">
        <f>SUM(E121:E124)</f>
        <v>486.01650783713046</v>
      </c>
      <c r="I120" s="11"/>
    </row>
    <row r="121" spans="2:10" ht="18" customHeight="1">
      <c r="B121" s="24" t="s">
        <v>87</v>
      </c>
      <c r="C121" s="3" t="s">
        <v>88</v>
      </c>
      <c r="D121" s="33">
        <f>IF(D116="Lucro presumido",0.65%,1.65%)</f>
        <v>1.6500000000000001E-2</v>
      </c>
      <c r="E121" s="29">
        <f>($E$136+$E$118+$E$119)*D121/(1-$D$120)</f>
        <v>71.28242114944581</v>
      </c>
      <c r="I121" s="11"/>
    </row>
    <row r="122" spans="2:10" ht="18" customHeight="1">
      <c r="B122" s="24" t="s">
        <v>89</v>
      </c>
      <c r="C122" s="3" t="s">
        <v>90</v>
      </c>
      <c r="D122" s="33">
        <f>IF(D116="Lucro presumido",3%,7.6%)</f>
        <v>7.5999999999999998E-2</v>
      </c>
      <c r="E122" s="29">
        <f>($E$136+$E$118+$E$119)*D122/(1-$D$120)</f>
        <v>328.33115196108372</v>
      </c>
      <c r="J122" s="11"/>
    </row>
    <row r="123" spans="2:10" ht="18" customHeight="1">
      <c r="B123" s="24" t="s">
        <v>91</v>
      </c>
      <c r="C123" s="3" t="s">
        <v>106</v>
      </c>
      <c r="D123" s="252">
        <v>0.02</v>
      </c>
      <c r="E123" s="29">
        <f>($E$136+$E$118+$E$119)*D123/(1-$D$120)</f>
        <v>86.402934726600975</v>
      </c>
      <c r="J123" s="11"/>
    </row>
    <row r="124" spans="2:10" ht="18" customHeight="1">
      <c r="B124" s="24" t="s">
        <v>15</v>
      </c>
      <c r="C124" s="2" t="s">
        <v>92</v>
      </c>
      <c r="D124" s="33">
        <v>0</v>
      </c>
      <c r="E124" s="29">
        <f>($E$136+$E$118+$E$119)*D124/(1-$D$120)</f>
        <v>0</v>
      </c>
      <c r="J124" s="11"/>
    </row>
    <row r="125" spans="2:10" ht="18" customHeight="1">
      <c r="B125" s="270" t="s">
        <v>21</v>
      </c>
      <c r="C125" s="271"/>
      <c r="D125" s="15">
        <f>SUM(D118:D120)</f>
        <v>0.26250000000000001</v>
      </c>
      <c r="E125" s="31">
        <f>SUM(E118:E120)</f>
        <v>1000.5534649076087</v>
      </c>
      <c r="J125" s="11"/>
    </row>
    <row r="126" spans="2:10" ht="18" customHeight="1">
      <c r="B126" s="282" t="s">
        <v>93</v>
      </c>
      <c r="C126" s="275"/>
      <c r="D126" s="275"/>
      <c r="E126" s="283"/>
      <c r="J126" s="11"/>
    </row>
    <row r="127" spans="2:10" ht="25.5" customHeight="1">
      <c r="B127" s="282" t="s">
        <v>94</v>
      </c>
      <c r="C127" s="275"/>
      <c r="D127" s="275"/>
      <c r="E127" s="283"/>
      <c r="J127" s="11"/>
    </row>
    <row r="128" spans="2:10" ht="13.5" thickBot="1">
      <c r="B128" s="21"/>
      <c r="E128" s="22"/>
    </row>
    <row r="129" spans="2:10" ht="18" customHeight="1" thickBot="1">
      <c r="B129" s="279" t="s">
        <v>95</v>
      </c>
      <c r="C129" s="280"/>
      <c r="D129" s="280"/>
      <c r="E129" s="281"/>
    </row>
    <row r="130" spans="2:10" ht="18" customHeight="1">
      <c r="B130" s="276" t="s">
        <v>96</v>
      </c>
      <c r="C130" s="277"/>
      <c r="D130" s="277"/>
      <c r="E130" s="240" t="s">
        <v>97</v>
      </c>
      <c r="J130" s="11"/>
    </row>
    <row r="131" spans="2:10" ht="18" customHeight="1">
      <c r="B131" s="24" t="s">
        <v>9</v>
      </c>
      <c r="C131" s="278" t="s">
        <v>6</v>
      </c>
      <c r="D131" s="278"/>
      <c r="E131" s="30">
        <f>E19</f>
        <v>1651</v>
      </c>
      <c r="H131" s="11"/>
    </row>
    <row r="132" spans="2:10" ht="18" customHeight="1">
      <c r="B132" s="24" t="s">
        <v>11</v>
      </c>
      <c r="C132" s="278" t="s">
        <v>23</v>
      </c>
      <c r="D132" s="278"/>
      <c r="E132" s="30">
        <f>E64</f>
        <v>1046.7339999999999</v>
      </c>
      <c r="J132" s="11"/>
    </row>
    <row r="133" spans="2:10" ht="18" customHeight="1">
      <c r="B133" s="24" t="s">
        <v>13</v>
      </c>
      <c r="C133" s="278" t="s">
        <v>56</v>
      </c>
      <c r="D133" s="278"/>
      <c r="E133" s="30">
        <f>E74</f>
        <v>109.16778888888889</v>
      </c>
      <c r="J133" s="11"/>
    </row>
    <row r="134" spans="2:10" ht="18" customHeight="1">
      <c r="B134" s="24" t="s">
        <v>15</v>
      </c>
      <c r="C134" s="278" t="s">
        <v>62</v>
      </c>
      <c r="D134" s="278"/>
      <c r="E134" s="30">
        <f>E104</f>
        <v>309.33148253355114</v>
      </c>
      <c r="H134" s="11"/>
      <c r="J134" s="11"/>
    </row>
    <row r="135" spans="2:10" ht="18" customHeight="1">
      <c r="B135" s="24" t="s">
        <v>17</v>
      </c>
      <c r="C135" s="278" t="s">
        <v>77</v>
      </c>
      <c r="D135" s="278"/>
      <c r="E135" s="30">
        <f>E112</f>
        <v>203.36</v>
      </c>
      <c r="H135" s="11"/>
      <c r="J135" s="11"/>
    </row>
    <row r="136" spans="2:10" ht="18" customHeight="1">
      <c r="B136" s="270" t="s">
        <v>98</v>
      </c>
      <c r="C136" s="271"/>
      <c r="D136" s="271"/>
      <c r="E136" s="31">
        <f>SUM(E131:E135)</f>
        <v>3319.59327142244</v>
      </c>
    </row>
    <row r="137" spans="2:10" ht="18" customHeight="1">
      <c r="B137" s="24" t="s">
        <v>19</v>
      </c>
      <c r="C137" s="272" t="s">
        <v>82</v>
      </c>
      <c r="D137" s="272"/>
      <c r="E137" s="30">
        <f>E125</f>
        <v>1000.5534649076087</v>
      </c>
    </row>
    <row r="138" spans="2:10" ht="18" customHeight="1" thickBot="1">
      <c r="B138" s="273" t="s">
        <v>99</v>
      </c>
      <c r="C138" s="274"/>
      <c r="D138" s="274"/>
      <c r="E138" s="32">
        <f>SUM(E136:E137)</f>
        <v>4320.146736330049</v>
      </c>
    </row>
    <row r="139" spans="2:10" ht="18" customHeight="1"/>
    <row r="140" spans="2:10">
      <c r="B140" s="275"/>
      <c r="C140" s="275"/>
      <c r="D140" s="275"/>
      <c r="E140" s="275"/>
    </row>
    <row r="143" spans="2:10">
      <c r="E143" s="11"/>
    </row>
    <row r="144" spans="2:10">
      <c r="E144" s="11"/>
    </row>
    <row r="145" spans="5:5">
      <c r="E145" s="11"/>
    </row>
    <row r="146" spans="5:5">
      <c r="E146" s="11"/>
    </row>
    <row r="147" spans="5:5">
      <c r="E147" s="11"/>
    </row>
  </sheetData>
  <mergeCells count="81">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 ref="C16:D16"/>
    <mergeCell ref="C17:D17"/>
    <mergeCell ref="C18:D18"/>
    <mergeCell ref="B19:D19"/>
    <mergeCell ref="B20:E20"/>
    <mergeCell ref="B22:E22"/>
    <mergeCell ref="B23:E23"/>
    <mergeCell ref="B27:C27"/>
    <mergeCell ref="B28:E28"/>
    <mergeCell ref="B29:E29"/>
    <mergeCell ref="B59:E59"/>
    <mergeCell ref="B32:E32"/>
    <mergeCell ref="B42:C42"/>
    <mergeCell ref="B43:E43"/>
    <mergeCell ref="B44:E44"/>
    <mergeCell ref="B45:E45"/>
    <mergeCell ref="B46:E46"/>
    <mergeCell ref="B48:E48"/>
    <mergeCell ref="B55:D55"/>
    <mergeCell ref="B56:E56"/>
    <mergeCell ref="B57:E57"/>
    <mergeCell ref="B80:E80"/>
    <mergeCell ref="C60:D60"/>
    <mergeCell ref="C61:D61"/>
    <mergeCell ref="C62:D62"/>
    <mergeCell ref="C63:D63"/>
    <mergeCell ref="B64:D64"/>
    <mergeCell ref="B66:E66"/>
    <mergeCell ref="B74:C74"/>
    <mergeCell ref="B75:E75"/>
    <mergeCell ref="B77:E77"/>
    <mergeCell ref="B78:E78"/>
    <mergeCell ref="C108:D108"/>
    <mergeCell ref="B93:C93"/>
    <mergeCell ref="B95:E95"/>
    <mergeCell ref="B98:C98"/>
    <mergeCell ref="B100:E100"/>
    <mergeCell ref="C101:D101"/>
    <mergeCell ref="C102:D102"/>
    <mergeCell ref="C103:D103"/>
    <mergeCell ref="B104:D104"/>
    <mergeCell ref="B106:E106"/>
    <mergeCell ref="C107:D107"/>
    <mergeCell ref="B129:E129"/>
    <mergeCell ref="C109:D109"/>
    <mergeCell ref="C110:D110"/>
    <mergeCell ref="C111:D111"/>
    <mergeCell ref="B112:D112"/>
    <mergeCell ref="B113:E113"/>
    <mergeCell ref="B115:E115"/>
    <mergeCell ref="B116:C116"/>
    <mergeCell ref="D116:E116"/>
    <mergeCell ref="B125:C125"/>
    <mergeCell ref="B126:E126"/>
    <mergeCell ref="B127:E127"/>
    <mergeCell ref="B136:D136"/>
    <mergeCell ref="C137:D137"/>
    <mergeCell ref="B138:D138"/>
    <mergeCell ref="B140:E140"/>
    <mergeCell ref="B130:D130"/>
    <mergeCell ref="C131:D131"/>
    <mergeCell ref="C132:D132"/>
    <mergeCell ref="C133:D133"/>
    <mergeCell ref="C134:D134"/>
    <mergeCell ref="C135:D13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95"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topLeftCell="A88"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437" t="s">
        <v>108</v>
      </c>
      <c r="C2" s="437"/>
      <c r="D2" s="437"/>
      <c r="E2" s="437"/>
      <c r="F2" s="437"/>
      <c r="G2" s="437"/>
    </row>
    <row r="3" spans="1:8" s="42" customFormat="1" ht="15.75">
      <c r="B3" s="44"/>
      <c r="C3" s="45"/>
      <c r="D3" s="45"/>
      <c r="E3" s="45"/>
      <c r="F3" s="45"/>
      <c r="G3" s="45"/>
    </row>
    <row r="4" spans="1:8" s="48" customFormat="1" ht="18" customHeight="1">
      <c r="A4" s="46"/>
      <c r="B4" s="438" t="s">
        <v>6</v>
      </c>
      <c r="C4" s="438"/>
      <c r="D4" s="326" t="s">
        <v>109</v>
      </c>
      <c r="E4" s="326"/>
      <c r="F4" s="326"/>
      <c r="G4" s="47" t="s">
        <v>110</v>
      </c>
      <c r="H4" s="46"/>
    </row>
    <row r="5" spans="1:8">
      <c r="B5" s="49" t="s">
        <v>9</v>
      </c>
      <c r="C5" s="50" t="s">
        <v>111</v>
      </c>
      <c r="D5" s="435" t="s">
        <v>112</v>
      </c>
      <c r="E5" s="435"/>
      <c r="F5" s="435"/>
      <c r="G5" s="51" t="s">
        <v>113</v>
      </c>
    </row>
    <row r="6" spans="1:8" ht="22.5">
      <c r="B6" s="49" t="s">
        <v>11</v>
      </c>
      <c r="C6" s="50" t="s">
        <v>12</v>
      </c>
      <c r="D6" s="439" t="s">
        <v>114</v>
      </c>
      <c r="E6" s="439"/>
      <c r="F6" s="439"/>
      <c r="G6" s="53" t="s">
        <v>115</v>
      </c>
    </row>
    <row r="7" spans="1:8" ht="33.75">
      <c r="B7" s="49" t="s">
        <v>13</v>
      </c>
      <c r="C7" s="50" t="s">
        <v>116</v>
      </c>
      <c r="D7" s="440" t="s">
        <v>117</v>
      </c>
      <c r="E7" s="440"/>
      <c r="F7" s="440"/>
      <c r="G7" s="53" t="s">
        <v>118</v>
      </c>
    </row>
    <row r="8" spans="1:8" ht="28.9" customHeight="1">
      <c r="B8" s="49" t="s">
        <v>15</v>
      </c>
      <c r="C8" s="54" t="s">
        <v>119</v>
      </c>
      <c r="D8" s="435" t="s">
        <v>120</v>
      </c>
      <c r="E8" s="435"/>
      <c r="F8" s="435"/>
      <c r="G8" s="53" t="s">
        <v>121</v>
      </c>
    </row>
    <row r="9" spans="1:8" ht="28.9" customHeight="1">
      <c r="B9" s="49" t="s">
        <v>17</v>
      </c>
      <c r="C9" s="54" t="s">
        <v>122</v>
      </c>
      <c r="D9" s="435" t="s">
        <v>123</v>
      </c>
      <c r="E9" s="435"/>
      <c r="F9" s="435"/>
      <c r="G9" s="53" t="s">
        <v>124</v>
      </c>
    </row>
    <row r="10" spans="1:8" ht="45">
      <c r="B10" s="49" t="s">
        <v>19</v>
      </c>
      <c r="C10" s="54" t="s">
        <v>125</v>
      </c>
      <c r="D10" s="435" t="s">
        <v>126</v>
      </c>
      <c r="E10" s="435"/>
      <c r="F10" s="435"/>
      <c r="G10" s="53" t="s">
        <v>127</v>
      </c>
    </row>
    <row r="11" spans="1:8" ht="50.65" customHeight="1">
      <c r="B11" s="49" t="s">
        <v>39</v>
      </c>
      <c r="C11" s="54" t="s">
        <v>128</v>
      </c>
      <c r="D11" s="435" t="s">
        <v>129</v>
      </c>
      <c r="E11" s="435"/>
      <c r="F11" s="435"/>
      <c r="G11" s="53" t="s">
        <v>130</v>
      </c>
    </row>
    <row r="12" spans="1:8" ht="45">
      <c r="B12" s="49" t="s">
        <v>131</v>
      </c>
      <c r="C12" s="54" t="s">
        <v>132</v>
      </c>
      <c r="D12" s="435" t="s">
        <v>133</v>
      </c>
      <c r="E12" s="435"/>
      <c r="F12" s="435"/>
      <c r="G12" s="53" t="s">
        <v>134</v>
      </c>
    </row>
    <row r="13" spans="1:8" ht="65.45" customHeight="1">
      <c r="B13" s="436" t="s">
        <v>135</v>
      </c>
      <c r="C13" s="436"/>
      <c r="D13" s="436"/>
      <c r="E13" s="436"/>
      <c r="F13" s="436"/>
      <c r="G13" s="436"/>
    </row>
    <row r="14" spans="1:8" ht="39.6" customHeight="1">
      <c r="B14" s="431" t="s">
        <v>136</v>
      </c>
      <c r="C14" s="431"/>
      <c r="D14" s="431"/>
      <c r="E14" s="431"/>
      <c r="F14" s="431"/>
      <c r="G14" s="431"/>
    </row>
    <row r="15" spans="1:8" ht="40.15" customHeight="1">
      <c r="B15" s="431" t="s">
        <v>137</v>
      </c>
      <c r="C15" s="431"/>
      <c r="D15" s="431"/>
      <c r="E15" s="431"/>
      <c r="F15" s="431"/>
      <c r="G15" s="431"/>
    </row>
    <row r="16" spans="1:8" ht="14.65" customHeight="1">
      <c r="B16" s="433" t="s">
        <v>138</v>
      </c>
      <c r="C16" s="433"/>
      <c r="D16" s="433"/>
      <c r="E16" s="433"/>
      <c r="F16" s="433"/>
      <c r="G16" s="433"/>
    </row>
    <row r="17" spans="1:8" s="56" customFormat="1" ht="12.4" customHeight="1">
      <c r="A17" s="55"/>
      <c r="B17" s="434" t="s">
        <v>139</v>
      </c>
      <c r="C17" s="434"/>
      <c r="D17" s="434"/>
      <c r="E17" s="434"/>
      <c r="F17" s="434"/>
      <c r="G17" s="434"/>
      <c r="H17" s="55"/>
    </row>
    <row r="18" spans="1:8" s="56" customFormat="1" ht="12.4" customHeight="1">
      <c r="A18" s="55"/>
      <c r="B18" s="434" t="s">
        <v>140</v>
      </c>
      <c r="C18" s="434"/>
      <c r="D18" s="434"/>
      <c r="E18" s="434"/>
      <c r="F18" s="434"/>
      <c r="G18" s="434"/>
      <c r="H18" s="55"/>
    </row>
    <row r="19" spans="1:8" ht="40.15" customHeight="1">
      <c r="B19" s="431" t="s">
        <v>141</v>
      </c>
      <c r="C19" s="431"/>
      <c r="D19" s="431"/>
      <c r="E19" s="431"/>
      <c r="F19" s="431"/>
      <c r="G19" s="431"/>
    </row>
    <row r="20" spans="1:8" ht="85.9" customHeight="1">
      <c r="B20" s="431" t="s">
        <v>142</v>
      </c>
      <c r="C20" s="431"/>
      <c r="D20" s="431"/>
      <c r="E20" s="431"/>
      <c r="F20" s="431"/>
      <c r="G20" s="431"/>
    </row>
    <row r="21" spans="1:8" ht="58.5" customHeight="1">
      <c r="B21" s="432" t="s">
        <v>143</v>
      </c>
      <c r="C21" s="432"/>
      <c r="D21" s="432"/>
      <c r="E21" s="432"/>
      <c r="F21" s="432"/>
      <c r="G21" s="432"/>
    </row>
    <row r="22" spans="1:8" s="42" customFormat="1" ht="15" customHeight="1">
      <c r="B22" s="57"/>
      <c r="C22" s="58"/>
      <c r="D22" s="58"/>
      <c r="E22" s="58"/>
      <c r="F22" s="58"/>
      <c r="G22" s="59"/>
    </row>
    <row r="23" spans="1:8" ht="18" customHeight="1">
      <c r="B23" s="324" t="s">
        <v>144</v>
      </c>
      <c r="C23" s="325"/>
      <c r="D23" s="60" t="s">
        <v>145</v>
      </c>
      <c r="E23" s="324" t="s">
        <v>109</v>
      </c>
      <c r="F23" s="325"/>
      <c r="G23" s="47" t="s">
        <v>110</v>
      </c>
    </row>
    <row r="24" spans="1:8" s="46" customFormat="1">
      <c r="B24" s="61" t="s">
        <v>9</v>
      </c>
      <c r="C24" s="62" t="s">
        <v>146</v>
      </c>
      <c r="D24" s="63">
        <f>1/12</f>
        <v>8.3333333333333329E-2</v>
      </c>
      <c r="E24" s="371" t="s">
        <v>147</v>
      </c>
      <c r="F24" s="372"/>
      <c r="G24" s="64" t="s">
        <v>148</v>
      </c>
    </row>
    <row r="25" spans="1:8" s="46" customFormat="1">
      <c r="B25" s="61" t="s">
        <v>11</v>
      </c>
      <c r="C25" s="62" t="s">
        <v>149</v>
      </c>
      <c r="D25" s="63">
        <f>D24*1/3</f>
        <v>2.7777777777777776E-2</v>
      </c>
      <c r="E25" s="371" t="s">
        <v>150</v>
      </c>
      <c r="F25" s="372"/>
      <c r="G25" s="64" t="s">
        <v>151</v>
      </c>
    </row>
    <row r="26" spans="1:8" s="46" customFormat="1">
      <c r="B26" s="61" t="s">
        <v>13</v>
      </c>
      <c r="C26" s="62" t="s">
        <v>152</v>
      </c>
      <c r="D26" s="63">
        <f>1/12</f>
        <v>8.3333333333333329E-2</v>
      </c>
      <c r="E26" s="371" t="s">
        <v>147</v>
      </c>
      <c r="F26" s="372"/>
      <c r="G26" s="64" t="s">
        <v>151</v>
      </c>
    </row>
    <row r="27" spans="1:8" s="48" customFormat="1" ht="18" customHeight="1">
      <c r="A27" s="46"/>
      <c r="B27" s="424" t="s">
        <v>153</v>
      </c>
      <c r="C27" s="425"/>
      <c r="D27" s="65">
        <f>SUM(D24:D26)</f>
        <v>0.19444444444444442</v>
      </c>
      <c r="E27" s="426"/>
      <c r="F27" s="427"/>
      <c r="G27" s="66"/>
      <c r="H27" s="46"/>
    </row>
    <row r="28" spans="1:8" s="42" customFormat="1" ht="21.6" customHeight="1">
      <c r="B28" s="428" t="s">
        <v>154</v>
      </c>
      <c r="C28" s="428"/>
      <c r="D28" s="428"/>
      <c r="E28" s="428"/>
      <c r="F28" s="428"/>
      <c r="G28" s="428"/>
    </row>
    <row r="29" spans="1:8" s="42" customFormat="1" ht="15" customHeight="1">
      <c r="B29" s="412" t="s">
        <v>155</v>
      </c>
      <c r="C29" s="429"/>
      <c r="D29" s="429"/>
      <c r="E29" s="429"/>
      <c r="F29" s="429"/>
      <c r="G29" s="430"/>
    </row>
    <row r="30" spans="1:8" s="42" customFormat="1">
      <c r="B30" s="321"/>
      <c r="C30" s="322"/>
      <c r="D30" s="322"/>
      <c r="E30" s="322"/>
      <c r="F30" s="322"/>
      <c r="G30" s="323"/>
    </row>
    <row r="31" spans="1:8" s="42" customFormat="1" ht="72" customHeight="1">
      <c r="B31" s="428" t="s">
        <v>156</v>
      </c>
      <c r="C31" s="428"/>
      <c r="D31" s="428"/>
      <c r="E31" s="428"/>
      <c r="F31" s="428"/>
      <c r="G31" s="428"/>
    </row>
    <row r="32" spans="1:8">
      <c r="B32" s="67"/>
      <c r="C32" s="68"/>
      <c r="D32" s="69"/>
      <c r="E32" s="69"/>
      <c r="F32" s="69"/>
      <c r="G32" s="70"/>
    </row>
    <row r="33" spans="1:8" ht="18" customHeight="1">
      <c r="B33" s="324" t="s">
        <v>157</v>
      </c>
      <c r="C33" s="325"/>
      <c r="D33" s="47" t="s">
        <v>145</v>
      </c>
      <c r="E33" s="324" t="s">
        <v>110</v>
      </c>
      <c r="F33" s="338"/>
      <c r="G33" s="325"/>
    </row>
    <row r="34" spans="1:8" s="42" customFormat="1">
      <c r="B34" s="61" t="s">
        <v>9</v>
      </c>
      <c r="C34" s="62" t="s">
        <v>158</v>
      </c>
      <c r="D34" s="63">
        <v>0.2</v>
      </c>
      <c r="E34" s="417" t="s">
        <v>159</v>
      </c>
      <c r="F34" s="418"/>
      <c r="G34" s="419"/>
    </row>
    <row r="35" spans="1:8" s="42" customFormat="1" ht="23.65" customHeight="1">
      <c r="B35" s="49" t="s">
        <v>11</v>
      </c>
      <c r="C35" s="50" t="s">
        <v>34</v>
      </c>
      <c r="D35" s="71">
        <v>2.5000000000000001E-2</v>
      </c>
      <c r="E35" s="417" t="s">
        <v>160</v>
      </c>
      <c r="F35" s="418"/>
      <c r="G35" s="419"/>
    </row>
    <row r="36" spans="1:8" s="42" customFormat="1" ht="23.65" customHeight="1">
      <c r="B36" s="49" t="s">
        <v>13</v>
      </c>
      <c r="C36" s="72" t="s">
        <v>161</v>
      </c>
      <c r="D36" s="71">
        <v>0.03</v>
      </c>
      <c r="E36" s="417" t="s">
        <v>162</v>
      </c>
      <c r="F36" s="418"/>
      <c r="G36" s="419"/>
    </row>
    <row r="37" spans="1:8" ht="12.4" customHeight="1">
      <c r="B37" s="49" t="s">
        <v>15</v>
      </c>
      <c r="C37" s="50" t="s">
        <v>36</v>
      </c>
      <c r="D37" s="71">
        <v>1.4999999999999999E-2</v>
      </c>
      <c r="E37" s="417" t="s">
        <v>163</v>
      </c>
      <c r="F37" s="418"/>
      <c r="G37" s="419"/>
    </row>
    <row r="38" spans="1:8" ht="12.4" customHeight="1">
      <c r="B38" s="49" t="s">
        <v>17</v>
      </c>
      <c r="C38" s="50" t="s">
        <v>164</v>
      </c>
      <c r="D38" s="71">
        <v>0.01</v>
      </c>
      <c r="E38" s="417" t="s">
        <v>165</v>
      </c>
      <c r="F38" s="418"/>
      <c r="G38" s="419"/>
    </row>
    <row r="39" spans="1:8" ht="12.4" customHeight="1">
      <c r="B39" s="49" t="s">
        <v>19</v>
      </c>
      <c r="C39" s="50" t="s">
        <v>38</v>
      </c>
      <c r="D39" s="71">
        <v>6.0000000000000001E-3</v>
      </c>
      <c r="E39" s="417" t="s">
        <v>166</v>
      </c>
      <c r="F39" s="418"/>
      <c r="G39" s="419"/>
    </row>
    <row r="40" spans="1:8" ht="12.4" customHeight="1">
      <c r="B40" s="49" t="s">
        <v>39</v>
      </c>
      <c r="C40" s="50" t="s">
        <v>40</v>
      </c>
      <c r="D40" s="71">
        <v>2E-3</v>
      </c>
      <c r="E40" s="417" t="s">
        <v>167</v>
      </c>
      <c r="F40" s="418"/>
      <c r="G40" s="419"/>
    </row>
    <row r="41" spans="1:8" ht="12.4" customHeight="1">
      <c r="B41" s="49" t="s">
        <v>41</v>
      </c>
      <c r="C41" s="50" t="s">
        <v>42</v>
      </c>
      <c r="D41" s="71">
        <v>0.08</v>
      </c>
      <c r="E41" s="417" t="s">
        <v>168</v>
      </c>
      <c r="F41" s="418"/>
      <c r="G41" s="419"/>
    </row>
    <row r="42" spans="1:8" ht="14.65" customHeight="1">
      <c r="B42" s="49" t="s">
        <v>131</v>
      </c>
      <c r="C42" s="73" t="s">
        <v>169</v>
      </c>
      <c r="D42" s="74">
        <v>0</v>
      </c>
      <c r="E42" s="417" t="s">
        <v>170</v>
      </c>
      <c r="F42" s="418"/>
      <c r="G42" s="419"/>
    </row>
    <row r="43" spans="1:8" ht="12.4" customHeight="1">
      <c r="B43" s="420" t="s">
        <v>171</v>
      </c>
      <c r="C43" s="420"/>
      <c r="D43" s="75">
        <f>SUM(D34:D42)</f>
        <v>0.36800000000000005</v>
      </c>
      <c r="E43" s="421"/>
      <c r="F43" s="422"/>
      <c r="G43" s="423"/>
    </row>
    <row r="44" spans="1:8" s="77" customFormat="1" ht="15">
      <c r="A44" s="76"/>
      <c r="B44" s="405" t="s">
        <v>172</v>
      </c>
      <c r="C44" s="406"/>
      <c r="D44" s="406"/>
      <c r="E44" s="406"/>
      <c r="F44" s="406"/>
      <c r="G44" s="407"/>
      <c r="H44" s="76"/>
    </row>
    <row r="45" spans="1:8" ht="30" customHeight="1">
      <c r="B45" s="408" t="s">
        <v>173</v>
      </c>
      <c r="C45" s="408"/>
      <c r="D45" s="408"/>
      <c r="E45" s="408"/>
      <c r="F45" s="408"/>
      <c r="G45" s="408"/>
    </row>
    <row r="46" spans="1:8" ht="67.5" customHeight="1">
      <c r="B46" s="409" t="s">
        <v>174</v>
      </c>
      <c r="C46" s="410"/>
      <c r="D46" s="410"/>
      <c r="E46" s="410"/>
      <c r="F46" s="410"/>
      <c r="G46" s="411"/>
    </row>
    <row r="47" spans="1:8" ht="34.9" customHeight="1">
      <c r="B47" s="412" t="s">
        <v>175</v>
      </c>
      <c r="C47" s="413"/>
      <c r="D47" s="413"/>
      <c r="E47" s="413"/>
      <c r="F47" s="413"/>
      <c r="G47" s="414"/>
    </row>
    <row r="48" spans="1:8" ht="45.6" customHeight="1">
      <c r="B48" s="321" t="s">
        <v>176</v>
      </c>
      <c r="C48" s="415"/>
      <c r="D48" s="415"/>
      <c r="E48" s="415"/>
      <c r="F48" s="415"/>
      <c r="G48" s="416"/>
    </row>
    <row r="49" spans="1:8" ht="116.25" customHeight="1">
      <c r="B49" s="321" t="s">
        <v>177</v>
      </c>
      <c r="C49" s="415"/>
      <c r="D49" s="415"/>
      <c r="E49" s="415"/>
      <c r="F49" s="415"/>
      <c r="G49" s="416"/>
    </row>
    <row r="50" spans="1:8">
      <c r="B50" s="78"/>
      <c r="C50" s="70"/>
      <c r="D50" s="70"/>
      <c r="E50" s="70"/>
      <c r="F50" s="70"/>
      <c r="G50" s="70"/>
    </row>
    <row r="51" spans="1:8" s="48" customFormat="1" ht="18" customHeight="1">
      <c r="A51" s="46"/>
      <c r="B51" s="363" t="s">
        <v>178</v>
      </c>
      <c r="C51" s="399"/>
      <c r="D51" s="364"/>
      <c r="E51" s="324" t="s">
        <v>110</v>
      </c>
      <c r="F51" s="338"/>
      <c r="G51" s="325"/>
      <c r="H51" s="46"/>
    </row>
    <row r="52" spans="1:8">
      <c r="B52" s="49" t="s">
        <v>9</v>
      </c>
      <c r="C52" s="400" t="s">
        <v>179</v>
      </c>
      <c r="D52" s="401"/>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402" t="s">
        <v>185</v>
      </c>
      <c r="C57" s="403"/>
      <c r="D57" s="403"/>
      <c r="E57" s="403"/>
      <c r="F57" s="403"/>
      <c r="G57" s="404"/>
    </row>
    <row r="58" spans="1:8">
      <c r="B58" s="78"/>
      <c r="C58" s="70"/>
      <c r="D58" s="70"/>
      <c r="E58" s="70"/>
      <c r="F58" s="70"/>
      <c r="G58" s="70"/>
    </row>
    <row r="59" spans="1:8" ht="18" customHeight="1">
      <c r="B59" s="324" t="s">
        <v>56</v>
      </c>
      <c r="C59" s="325"/>
      <c r="D59" s="92" t="s">
        <v>145</v>
      </c>
      <c r="E59" s="324" t="s">
        <v>109</v>
      </c>
      <c r="F59" s="325"/>
      <c r="G59" s="47" t="s">
        <v>110</v>
      </c>
    </row>
    <row r="60" spans="1:8">
      <c r="B60" s="93" t="s">
        <v>9</v>
      </c>
      <c r="C60" s="94" t="s">
        <v>186</v>
      </c>
      <c r="D60" s="95">
        <f>((1/12)* 0.05)</f>
        <v>4.1666666666666666E-3</v>
      </c>
      <c r="E60" s="390" t="s">
        <v>187</v>
      </c>
      <c r="F60" s="391"/>
      <c r="G60" s="96" t="s">
        <v>188</v>
      </c>
    </row>
    <row r="61" spans="1:8" ht="12.4" customHeight="1">
      <c r="B61" s="93" t="s">
        <v>11</v>
      </c>
      <c r="C61" s="94" t="s">
        <v>59</v>
      </c>
      <c r="D61" s="95">
        <f>D41*D60</f>
        <v>3.3333333333333332E-4</v>
      </c>
      <c r="E61" s="390" t="s">
        <v>189</v>
      </c>
      <c r="F61" s="391"/>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90" t="s">
        <v>194</v>
      </c>
      <c r="F63" s="391"/>
      <c r="G63" s="96" t="s">
        <v>195</v>
      </c>
    </row>
    <row r="64" spans="1:8">
      <c r="B64" s="103" t="s">
        <v>196</v>
      </c>
      <c r="C64" s="104" t="s">
        <v>197</v>
      </c>
      <c r="D64" s="105">
        <f>((7/30)*0.1)/12</f>
        <v>1.9444444444444446E-3</v>
      </c>
      <c r="E64" s="390" t="s">
        <v>198</v>
      </c>
      <c r="F64" s="391"/>
      <c r="G64" s="96" t="s">
        <v>199</v>
      </c>
    </row>
    <row r="65" spans="2:7">
      <c r="B65" s="93" t="s">
        <v>17</v>
      </c>
      <c r="C65" s="94" t="s">
        <v>61</v>
      </c>
      <c r="D65" s="95">
        <f>D63*D43</f>
        <v>7.1555555555555565E-3</v>
      </c>
      <c r="E65" s="390" t="s">
        <v>200</v>
      </c>
      <c r="F65" s="391"/>
      <c r="G65" s="96" t="s">
        <v>190</v>
      </c>
    </row>
    <row r="66" spans="2:7">
      <c r="B66" s="103" t="s">
        <v>201</v>
      </c>
      <c r="C66" s="104" t="s">
        <v>202</v>
      </c>
      <c r="D66" s="105">
        <f>D64*D43</f>
        <v>7.1555555555555576E-4</v>
      </c>
      <c r="E66" s="390" t="s">
        <v>203</v>
      </c>
      <c r="F66" s="391"/>
      <c r="G66" s="96" t="s">
        <v>190</v>
      </c>
    </row>
    <row r="67" spans="2:7">
      <c r="B67" s="93" t="s">
        <v>19</v>
      </c>
      <c r="C67" s="99" t="s">
        <v>204</v>
      </c>
      <c r="D67" s="100">
        <f>(D63*D41)*0.4</f>
        <v>6.2222222222222236E-4</v>
      </c>
      <c r="E67" s="390" t="s">
        <v>205</v>
      </c>
      <c r="F67" s="391"/>
      <c r="G67" s="96" t="s">
        <v>193</v>
      </c>
    </row>
    <row r="68" spans="2:7">
      <c r="B68" s="103" t="s">
        <v>206</v>
      </c>
      <c r="C68" s="104" t="s">
        <v>207</v>
      </c>
      <c r="D68" s="105">
        <f>(D64*D41)*0.4</f>
        <v>6.2222222222222233E-5</v>
      </c>
      <c r="E68" s="390" t="s">
        <v>205</v>
      </c>
      <c r="F68" s="391"/>
      <c r="G68" s="96" t="s">
        <v>193</v>
      </c>
    </row>
    <row r="69" spans="2:7" ht="12.4" customHeight="1">
      <c r="B69" s="392" t="s">
        <v>208</v>
      </c>
      <c r="C69" s="392"/>
      <c r="D69" s="106">
        <f>D60+D61+D62+D63+D65+D67</f>
        <v>6.6122222222222207E-2</v>
      </c>
      <c r="E69" s="107" t="s">
        <v>209</v>
      </c>
      <c r="F69" s="108"/>
      <c r="G69" s="109"/>
    </row>
    <row r="70" spans="2:7" ht="12.4" customHeight="1">
      <c r="B70" s="393" t="s">
        <v>210</v>
      </c>
      <c r="C70" s="393"/>
      <c r="D70" s="106">
        <f>+D60+D61+D62+D64+D66+D68</f>
        <v>4.1622222222222206E-2</v>
      </c>
      <c r="E70" s="394" t="s">
        <v>211</v>
      </c>
      <c r="F70" s="395"/>
      <c r="G70" s="110"/>
    </row>
    <row r="71" spans="2:7" ht="31.5" customHeight="1">
      <c r="B71" s="396" t="s">
        <v>212</v>
      </c>
      <c r="C71" s="397"/>
      <c r="D71" s="397"/>
      <c r="E71" s="397"/>
      <c r="F71" s="397"/>
      <c r="G71" s="398"/>
    </row>
    <row r="72" spans="2:7" s="42" customFormat="1" ht="53.25" customHeight="1">
      <c r="B72" s="381" t="s">
        <v>213</v>
      </c>
      <c r="C72" s="382"/>
      <c r="D72" s="382"/>
      <c r="E72" s="382"/>
      <c r="F72" s="382"/>
      <c r="G72" s="383"/>
    </row>
    <row r="73" spans="2:7" s="42" customFormat="1" ht="23.25" customHeight="1">
      <c r="B73" s="381" t="s">
        <v>214</v>
      </c>
      <c r="C73" s="382"/>
      <c r="D73" s="382"/>
      <c r="E73" s="382"/>
      <c r="F73" s="382"/>
      <c r="G73" s="383"/>
    </row>
    <row r="74" spans="2:7" ht="44.25" customHeight="1">
      <c r="B74" s="384" t="s">
        <v>215</v>
      </c>
      <c r="C74" s="385"/>
      <c r="D74" s="385"/>
      <c r="E74" s="385"/>
      <c r="F74" s="385"/>
      <c r="G74" s="386"/>
    </row>
    <row r="75" spans="2:7" ht="24" customHeight="1">
      <c r="B75" s="387" t="s">
        <v>216</v>
      </c>
      <c r="C75" s="388"/>
      <c r="D75" s="388"/>
      <c r="E75" s="388"/>
      <c r="F75" s="388"/>
      <c r="G75" s="389"/>
    </row>
    <row r="76" spans="2:7">
      <c r="B76" s="67"/>
      <c r="C76" s="111"/>
      <c r="D76" s="111"/>
      <c r="E76" s="111"/>
      <c r="F76" s="112"/>
      <c r="G76" s="112"/>
    </row>
    <row r="77" spans="2:7" ht="12.4" customHeight="1">
      <c r="B77" s="324" t="s">
        <v>62</v>
      </c>
      <c r="C77" s="325"/>
      <c r="D77" s="75" t="s">
        <v>145</v>
      </c>
      <c r="E77" s="326" t="s">
        <v>109</v>
      </c>
      <c r="F77" s="326"/>
      <c r="G77" s="47" t="s">
        <v>110</v>
      </c>
    </row>
    <row r="78" spans="2:7" s="42" customFormat="1">
      <c r="B78" s="61" t="s">
        <v>9</v>
      </c>
      <c r="C78" s="113" t="s">
        <v>217</v>
      </c>
      <c r="D78" s="63">
        <f>1/12</f>
        <v>8.3333333333333329E-2</v>
      </c>
      <c r="E78" s="371" t="s">
        <v>147</v>
      </c>
      <c r="F78" s="372"/>
      <c r="G78" s="64" t="s">
        <v>218</v>
      </c>
    </row>
    <row r="79" spans="2:7" s="42" customFormat="1">
      <c r="B79" s="49" t="s">
        <v>11</v>
      </c>
      <c r="C79" s="114" t="s">
        <v>219</v>
      </c>
      <c r="D79" s="71">
        <f>(3/30)/12</f>
        <v>8.3333333333333332E-3</v>
      </c>
      <c r="E79" s="362" t="s">
        <v>220</v>
      </c>
      <c r="F79" s="362"/>
      <c r="G79" s="115" t="s">
        <v>221</v>
      </c>
    </row>
    <row r="80" spans="2:7" s="42" customFormat="1" ht="22.5">
      <c r="B80" s="49" t="s">
        <v>13</v>
      </c>
      <c r="C80" s="114" t="s">
        <v>222</v>
      </c>
      <c r="D80" s="71">
        <f>(((5/30)/12)*0.015)</f>
        <v>2.0833333333333332E-4</v>
      </c>
      <c r="E80" s="362" t="s">
        <v>223</v>
      </c>
      <c r="F80" s="362"/>
      <c r="G80" s="116" t="s">
        <v>224</v>
      </c>
    </row>
    <row r="81" spans="2:13" s="42" customFormat="1">
      <c r="B81" s="49" t="s">
        <v>15</v>
      </c>
      <c r="C81" s="114" t="s">
        <v>225</v>
      </c>
      <c r="D81" s="71">
        <f>((30/30)/12)*0.0078</f>
        <v>6.4999999999999997E-4</v>
      </c>
      <c r="E81" s="362" t="s">
        <v>226</v>
      </c>
      <c r="F81" s="362"/>
      <c r="G81" s="115" t="s">
        <v>227</v>
      </c>
    </row>
    <row r="82" spans="2:13" ht="22.5">
      <c r="B82" s="87" t="s">
        <v>17</v>
      </c>
      <c r="C82" s="117" t="s">
        <v>228</v>
      </c>
      <c r="D82" s="74">
        <f>(0.1111)*(0.1781)*(0.5)</f>
        <v>9.8934550000000007E-3</v>
      </c>
      <c r="E82" s="373" t="s">
        <v>229</v>
      </c>
      <c r="F82" s="374"/>
      <c r="G82" s="118" t="s">
        <v>230</v>
      </c>
    </row>
    <row r="83" spans="2:13" ht="22.5">
      <c r="B83" s="49" t="s">
        <v>19</v>
      </c>
      <c r="C83" s="114" t="s">
        <v>231</v>
      </c>
      <c r="D83" s="71">
        <f>(5/30)/12</f>
        <v>1.3888888888888888E-2</v>
      </c>
      <c r="E83" s="362" t="s">
        <v>232</v>
      </c>
      <c r="F83" s="362"/>
      <c r="G83" s="116" t="s">
        <v>233</v>
      </c>
    </row>
    <row r="84" spans="2:13">
      <c r="B84" s="49" t="s">
        <v>39</v>
      </c>
      <c r="C84" s="54" t="s">
        <v>20</v>
      </c>
      <c r="D84" s="119">
        <v>0</v>
      </c>
      <c r="E84" s="362"/>
      <c r="F84" s="362"/>
      <c r="G84" s="116"/>
    </row>
    <row r="85" spans="2:13" ht="12.4" customHeight="1">
      <c r="B85" s="363" t="s">
        <v>344</v>
      </c>
      <c r="C85" s="364"/>
      <c r="D85" s="92">
        <f>SUM(D78:D84)</f>
        <v>0.11630734388888889</v>
      </c>
      <c r="E85" s="375"/>
      <c r="F85" s="376"/>
      <c r="G85" s="377"/>
    </row>
    <row r="86" spans="2:13" ht="25.5">
      <c r="B86" s="49" t="s">
        <v>41</v>
      </c>
      <c r="C86" s="54" t="s">
        <v>349</v>
      </c>
      <c r="D86" s="119">
        <f>($D$85-$D$82)*((1/12)+(1/12)+(1/12*1/3))</f>
        <v>2.0691589506172836E-2</v>
      </c>
      <c r="E86" s="378" t="s">
        <v>350</v>
      </c>
      <c r="F86" s="379"/>
      <c r="G86" s="380"/>
    </row>
    <row r="87" spans="2:13" ht="12.4" customHeight="1">
      <c r="B87" s="363" t="s">
        <v>345</v>
      </c>
      <c r="C87" s="364"/>
      <c r="D87" s="92">
        <f>D85+D86</f>
        <v>0.13699893339506172</v>
      </c>
      <c r="E87" s="375"/>
      <c r="F87" s="376"/>
      <c r="G87" s="377"/>
    </row>
    <row r="88" spans="2:13" ht="12.4" customHeight="1">
      <c r="B88" s="49" t="s">
        <v>131</v>
      </c>
      <c r="C88" s="54" t="s">
        <v>346</v>
      </c>
      <c r="D88" s="119">
        <f>D43*D87</f>
        <v>5.0415607489382723E-2</v>
      </c>
      <c r="E88" s="378" t="s">
        <v>351</v>
      </c>
      <c r="F88" s="379"/>
      <c r="G88" s="380"/>
    </row>
    <row r="89" spans="2:13" ht="12.4" customHeight="1">
      <c r="B89" s="363" t="s">
        <v>352</v>
      </c>
      <c r="C89" s="364"/>
      <c r="D89" s="92">
        <f>D87+D88</f>
        <v>0.18741454088444445</v>
      </c>
      <c r="E89" s="375"/>
      <c r="F89" s="376"/>
      <c r="G89" s="377"/>
    </row>
    <row r="90" spans="2:13" s="120" customFormat="1" ht="31.5" customHeight="1">
      <c r="B90" s="318" t="s">
        <v>234</v>
      </c>
      <c r="C90" s="319"/>
      <c r="D90" s="319"/>
      <c r="E90" s="319"/>
      <c r="F90" s="319"/>
      <c r="G90" s="320"/>
    </row>
    <row r="91" spans="2:13" s="120" customFormat="1">
      <c r="B91" s="365" t="s">
        <v>235</v>
      </c>
      <c r="C91" s="366"/>
      <c r="D91" s="366"/>
      <c r="E91" s="366"/>
      <c r="F91" s="366"/>
      <c r="G91" s="367"/>
      <c r="M91" s="121"/>
    </row>
    <row r="92" spans="2:13" s="120" customFormat="1">
      <c r="B92" s="368" t="s">
        <v>236</v>
      </c>
      <c r="C92" s="369"/>
      <c r="D92" s="369"/>
      <c r="E92" s="369"/>
      <c r="F92" s="369"/>
      <c r="G92" s="370"/>
      <c r="M92" s="121"/>
    </row>
    <row r="93" spans="2:13" s="120" customFormat="1">
      <c r="B93" s="350" t="s">
        <v>237</v>
      </c>
      <c r="C93" s="351"/>
      <c r="D93" s="351"/>
      <c r="E93" s="351"/>
      <c r="F93" s="351"/>
      <c r="G93" s="352"/>
      <c r="M93" s="121"/>
    </row>
    <row r="94" spans="2:13" ht="12.4" customHeight="1">
      <c r="B94" s="353" t="s">
        <v>238</v>
      </c>
      <c r="C94" s="354"/>
      <c r="D94" s="354"/>
      <c r="E94" s="354"/>
      <c r="F94" s="354"/>
      <c r="G94" s="355"/>
      <c r="M94" s="122"/>
    </row>
    <row r="95" spans="2:13" ht="63.4" customHeight="1">
      <c r="B95" s="123"/>
      <c r="C95" s="356" t="s">
        <v>239</v>
      </c>
      <c r="D95" s="356"/>
      <c r="E95" s="356"/>
      <c r="F95" s="356"/>
      <c r="G95" s="357"/>
      <c r="M95" s="124"/>
    </row>
    <row r="96" spans="2:13" ht="54" customHeight="1">
      <c r="B96" s="123"/>
      <c r="C96" s="356" t="s">
        <v>240</v>
      </c>
      <c r="D96" s="356"/>
      <c r="E96" s="356"/>
      <c r="F96" s="356"/>
      <c r="G96" s="357"/>
      <c r="M96" s="124"/>
    </row>
    <row r="97" spans="1:8" ht="31.5" customHeight="1">
      <c r="B97" s="123"/>
      <c r="C97" s="356" t="s">
        <v>241</v>
      </c>
      <c r="D97" s="356"/>
      <c r="E97" s="356"/>
      <c r="F97" s="356"/>
      <c r="G97" s="357"/>
    </row>
    <row r="98" spans="1:8" s="125" customFormat="1" ht="24.75" customHeight="1">
      <c r="A98" s="43"/>
      <c r="B98" s="358" t="s">
        <v>242</v>
      </c>
      <c r="C98" s="359"/>
      <c r="D98" s="360" t="s">
        <v>243</v>
      </c>
      <c r="E98" s="360"/>
      <c r="F98" s="360"/>
      <c r="G98" s="361"/>
      <c r="H98" s="43"/>
    </row>
    <row r="99" spans="1:8" s="127" customFormat="1">
      <c r="A99" s="126"/>
      <c r="B99" s="331" t="s">
        <v>244</v>
      </c>
      <c r="C99" s="332"/>
      <c r="D99" s="333" t="s">
        <v>245</v>
      </c>
      <c r="E99" s="333"/>
      <c r="F99" s="333"/>
      <c r="G99" s="334"/>
      <c r="H99" s="126"/>
    </row>
    <row r="100" spans="1:8" s="42" customFormat="1" ht="15" customHeight="1">
      <c r="B100" s="335" t="s">
        <v>246</v>
      </c>
      <c r="C100" s="336"/>
      <c r="D100" s="336"/>
      <c r="E100" s="336"/>
      <c r="F100" s="336"/>
      <c r="G100" s="337"/>
    </row>
    <row r="101" spans="1:8" s="42" customFormat="1">
      <c r="B101" s="335" t="s">
        <v>353</v>
      </c>
      <c r="C101" s="336"/>
      <c r="D101" s="336"/>
      <c r="E101" s="336"/>
      <c r="F101" s="336"/>
      <c r="G101" s="337"/>
    </row>
    <row r="102" spans="1:8" s="42" customFormat="1">
      <c r="B102" s="57"/>
      <c r="C102" s="128"/>
      <c r="D102" s="128"/>
      <c r="E102" s="128"/>
      <c r="F102" s="128"/>
      <c r="G102" s="128"/>
    </row>
    <row r="103" spans="1:8">
      <c r="B103" s="324" t="s">
        <v>77</v>
      </c>
      <c r="C103" s="338"/>
      <c r="D103" s="325"/>
      <c r="E103" s="324" t="s">
        <v>110</v>
      </c>
      <c r="F103" s="338"/>
      <c r="G103" s="325"/>
    </row>
    <row r="104" spans="1:8" ht="11.25" customHeight="1">
      <c r="B104" s="49" t="s">
        <v>9</v>
      </c>
      <c r="C104" s="339" t="s">
        <v>247</v>
      </c>
      <c r="D104" s="340"/>
      <c r="E104" s="341" t="s">
        <v>112</v>
      </c>
      <c r="F104" s="342"/>
      <c r="G104" s="343"/>
    </row>
    <row r="105" spans="1:8">
      <c r="B105" s="49" t="s">
        <v>11</v>
      </c>
      <c r="C105" s="129" t="s">
        <v>248</v>
      </c>
      <c r="D105" s="130"/>
      <c r="E105" s="344"/>
      <c r="F105" s="345"/>
      <c r="G105" s="346"/>
    </row>
    <row r="106" spans="1:8">
      <c r="B106" s="49" t="s">
        <v>13</v>
      </c>
      <c r="C106" s="131" t="s">
        <v>249</v>
      </c>
      <c r="D106" s="131"/>
      <c r="E106" s="344"/>
      <c r="F106" s="345"/>
      <c r="G106" s="346"/>
    </row>
    <row r="107" spans="1:8">
      <c r="B107" s="49" t="s">
        <v>15</v>
      </c>
      <c r="C107" s="131" t="s">
        <v>250</v>
      </c>
      <c r="D107" s="131"/>
      <c r="E107" s="347"/>
      <c r="F107" s="348"/>
      <c r="G107" s="349"/>
    </row>
    <row r="108" spans="1:8" s="42" customFormat="1">
      <c r="B108" s="57"/>
      <c r="C108" s="58"/>
      <c r="D108" s="58"/>
      <c r="E108" s="58"/>
      <c r="F108" s="58"/>
      <c r="G108" s="58"/>
    </row>
    <row r="109" spans="1:8" ht="18" customHeight="1">
      <c r="B109" s="324" t="s">
        <v>251</v>
      </c>
      <c r="C109" s="325"/>
      <c r="D109" s="132" t="s">
        <v>145</v>
      </c>
      <c r="E109" s="326" t="s">
        <v>109</v>
      </c>
      <c r="F109" s="326"/>
      <c r="G109" s="326"/>
    </row>
    <row r="110" spans="1:8" ht="13.15" customHeight="1">
      <c r="B110" s="61" t="s">
        <v>9</v>
      </c>
      <c r="C110" s="62" t="s">
        <v>252</v>
      </c>
      <c r="D110" s="133">
        <v>0.05</v>
      </c>
      <c r="E110" s="327" t="s">
        <v>359</v>
      </c>
      <c r="F110" s="327"/>
      <c r="G110" s="327"/>
    </row>
    <row r="111" spans="1:8" ht="13.15" customHeight="1">
      <c r="B111" s="61" t="s">
        <v>11</v>
      </c>
      <c r="C111" s="62" t="s">
        <v>253</v>
      </c>
      <c r="D111" s="133">
        <v>0.1</v>
      </c>
      <c r="E111" s="327" t="s">
        <v>360</v>
      </c>
      <c r="F111" s="327"/>
      <c r="G111" s="327"/>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328" t="s">
        <v>258</v>
      </c>
      <c r="F114" s="329"/>
      <c r="G114" s="330"/>
    </row>
    <row r="115" spans="2:7" ht="13.15" customHeight="1">
      <c r="B115" s="140"/>
      <c r="C115" s="141" t="s">
        <v>259</v>
      </c>
      <c r="D115" s="142">
        <v>7.5999999999999998E-2</v>
      </c>
      <c r="E115" s="328" t="s">
        <v>260</v>
      </c>
      <c r="F115" s="329"/>
      <c r="G115" s="330"/>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315" t="s">
        <v>267</v>
      </c>
      <c r="C119" s="316"/>
      <c r="D119" s="316"/>
      <c r="E119" s="316"/>
      <c r="F119" s="316"/>
      <c r="G119" s="317"/>
    </row>
    <row r="120" spans="2:7" s="138" customFormat="1" ht="21" customHeight="1">
      <c r="B120" s="318" t="s">
        <v>268</v>
      </c>
      <c r="C120" s="319"/>
      <c r="D120" s="319"/>
      <c r="E120" s="319"/>
      <c r="F120" s="319"/>
      <c r="G120" s="320"/>
    </row>
    <row r="121" spans="2:7" s="138" customFormat="1" ht="31.5" customHeight="1">
      <c r="B121" s="321" t="s">
        <v>269</v>
      </c>
      <c r="C121" s="322"/>
      <c r="D121" s="322"/>
      <c r="E121" s="322"/>
      <c r="F121" s="322"/>
      <c r="G121" s="323"/>
    </row>
    <row r="122" spans="2:7">
      <c r="B122" s="156"/>
      <c r="C122" s="157"/>
      <c r="D122" s="157"/>
    </row>
    <row r="123" spans="2:7">
      <c r="B123" s="156"/>
      <c r="C123" s="157"/>
      <c r="D123" s="157"/>
    </row>
    <row r="124" spans="2:7">
      <c r="B124" s="156"/>
      <c r="C124" s="157"/>
      <c r="D124" s="157"/>
    </row>
  </sheetData>
  <mergeCells count="115">
    <mergeCell ref="D8:F8"/>
    <mergeCell ref="D9:F9"/>
    <mergeCell ref="D10:F10"/>
    <mergeCell ref="D11:F11"/>
    <mergeCell ref="D12:F12"/>
    <mergeCell ref="B13:G13"/>
    <mergeCell ref="B2:G2"/>
    <mergeCell ref="B4:C4"/>
    <mergeCell ref="D4:F4"/>
    <mergeCell ref="D5:F5"/>
    <mergeCell ref="D6:F6"/>
    <mergeCell ref="D7:F7"/>
    <mergeCell ref="B20:G20"/>
    <mergeCell ref="B21:G21"/>
    <mergeCell ref="B23:C23"/>
    <mergeCell ref="E23:F23"/>
    <mergeCell ref="E24:F24"/>
    <mergeCell ref="E25:F25"/>
    <mergeCell ref="B14:G14"/>
    <mergeCell ref="B15:G15"/>
    <mergeCell ref="B16:G16"/>
    <mergeCell ref="B17:G17"/>
    <mergeCell ref="B18:G18"/>
    <mergeCell ref="B19:G19"/>
    <mergeCell ref="B33:C33"/>
    <mergeCell ref="E33:G33"/>
    <mergeCell ref="E34:G34"/>
    <mergeCell ref="E35:G35"/>
    <mergeCell ref="E36:G36"/>
    <mergeCell ref="E37:G37"/>
    <mergeCell ref="E26:F26"/>
    <mergeCell ref="B27:C27"/>
    <mergeCell ref="E27:F27"/>
    <mergeCell ref="B28:G28"/>
    <mergeCell ref="B29:G30"/>
    <mergeCell ref="B31:G31"/>
    <mergeCell ref="B44:G44"/>
    <mergeCell ref="B45:G45"/>
    <mergeCell ref="B46:G46"/>
    <mergeCell ref="B47:G47"/>
    <mergeCell ref="B48:G48"/>
    <mergeCell ref="B49:G49"/>
    <mergeCell ref="E38:G38"/>
    <mergeCell ref="E39:G39"/>
    <mergeCell ref="E40:G40"/>
    <mergeCell ref="E41:G41"/>
    <mergeCell ref="E42:G42"/>
    <mergeCell ref="B43:C43"/>
    <mergeCell ref="E43:G43"/>
    <mergeCell ref="E60:F60"/>
    <mergeCell ref="E61:F61"/>
    <mergeCell ref="E63:F63"/>
    <mergeCell ref="E64:F64"/>
    <mergeCell ref="E65:F65"/>
    <mergeCell ref="E66:F66"/>
    <mergeCell ref="B51:D51"/>
    <mergeCell ref="E51:G51"/>
    <mergeCell ref="C52:D52"/>
    <mergeCell ref="B57:G57"/>
    <mergeCell ref="B59:C59"/>
    <mergeCell ref="E59:F59"/>
    <mergeCell ref="B72:G72"/>
    <mergeCell ref="B73:G73"/>
    <mergeCell ref="B74:G74"/>
    <mergeCell ref="B75:G75"/>
    <mergeCell ref="B77:C77"/>
    <mergeCell ref="E77:F77"/>
    <mergeCell ref="E67:F67"/>
    <mergeCell ref="E68:F68"/>
    <mergeCell ref="B69:C69"/>
    <mergeCell ref="B70:C70"/>
    <mergeCell ref="E70:F70"/>
    <mergeCell ref="B71:G7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B119:G119"/>
    <mergeCell ref="B120:G120"/>
    <mergeCell ref="B121:G121"/>
    <mergeCell ref="B109:C109"/>
    <mergeCell ref="E109:G109"/>
    <mergeCell ref="E110:G110"/>
    <mergeCell ref="E111:G111"/>
    <mergeCell ref="E114:G114"/>
    <mergeCell ref="E115:G115"/>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orientation="portrait" r:id="rId3"/>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workbookViewId="0">
      <selection activeCell="C22" sqref="C22"/>
    </sheetView>
  </sheetViews>
  <sheetFormatPr defaultRowHeight="15"/>
  <cols>
    <col min="3" max="3" width="78" customWidth="1"/>
    <col min="4" max="4" width="21.28515625" customWidth="1"/>
  </cols>
  <sheetData>
    <row r="2" spans="2:10">
      <c r="B2" s="442" t="s">
        <v>270</v>
      </c>
      <c r="C2" s="442" t="s">
        <v>271</v>
      </c>
      <c r="D2" s="247" t="s">
        <v>272</v>
      </c>
    </row>
    <row r="3" spans="2:10">
      <c r="B3" s="442"/>
      <c r="C3" s="442"/>
      <c r="D3" s="248"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43" t="s">
        <v>279</v>
      </c>
      <c r="C10" s="443"/>
      <c r="D10" s="443"/>
      <c r="E10" s="166"/>
      <c r="F10" s="166"/>
      <c r="G10" s="166"/>
      <c r="H10" s="166"/>
      <c r="I10" s="166"/>
      <c r="J10" s="166"/>
    </row>
    <row r="11" spans="2:10">
      <c r="B11" s="443" t="s">
        <v>280</v>
      </c>
      <c r="C11" s="443"/>
      <c r="D11" s="443"/>
      <c r="E11" s="166"/>
      <c r="F11" s="166"/>
      <c r="G11" s="166"/>
      <c r="H11" s="166"/>
      <c r="I11" s="166"/>
      <c r="J11" s="166"/>
    </row>
    <row r="12" spans="2:10">
      <c r="B12" s="443" t="s">
        <v>281</v>
      </c>
      <c r="C12" s="443"/>
      <c r="D12" s="443"/>
      <c r="E12" s="166"/>
      <c r="F12" s="166"/>
      <c r="G12" s="166"/>
      <c r="H12" s="166"/>
      <c r="I12" s="166"/>
      <c r="J12" s="166"/>
    </row>
    <row r="13" spans="2:10">
      <c r="B13" s="443" t="s">
        <v>282</v>
      </c>
      <c r="C13" s="443"/>
      <c r="D13" s="443"/>
      <c r="E13" s="166"/>
      <c r="F13" s="166"/>
      <c r="G13" s="166"/>
      <c r="H13" s="166"/>
      <c r="I13" s="166"/>
      <c r="J13" s="166"/>
    </row>
    <row r="14" spans="2:10" ht="64.5" customHeight="1">
      <c r="B14" s="441" t="s">
        <v>283</v>
      </c>
      <c r="C14" s="441"/>
      <c r="D14" s="441"/>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9" t="s">
        <v>285</v>
      </c>
      <c r="C2" s="450"/>
      <c r="D2" s="450"/>
      <c r="E2" s="450"/>
      <c r="F2" s="450"/>
      <c r="G2" s="451"/>
    </row>
    <row r="3" spans="2:10" ht="21.75" customHeight="1">
      <c r="B3" s="444" t="s">
        <v>286</v>
      </c>
      <c r="C3" s="445"/>
      <c r="D3" s="445"/>
      <c r="E3" s="445"/>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6" t="s">
        <v>295</v>
      </c>
      <c r="C9" s="447"/>
      <c r="D9" s="448"/>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52" t="s">
        <v>308</v>
      </c>
      <c r="C2" s="453"/>
      <c r="D2" s="453"/>
      <c r="E2" s="453"/>
      <c r="F2" s="453"/>
      <c r="G2" s="453"/>
      <c r="H2" s="454"/>
    </row>
    <row r="3" spans="2:8">
      <c r="B3" s="463" t="s">
        <v>309</v>
      </c>
      <c r="C3" s="465" t="s">
        <v>310</v>
      </c>
      <c r="D3" s="466"/>
      <c r="E3" s="466"/>
      <c r="F3" s="169"/>
      <c r="G3" s="169"/>
      <c r="H3" s="180"/>
    </row>
    <row r="4" spans="2:8">
      <c r="B4" s="464"/>
      <c r="C4" s="455" t="s">
        <v>313</v>
      </c>
      <c r="D4" s="456"/>
      <c r="E4" s="457"/>
      <c r="F4" s="169"/>
      <c r="G4" s="169"/>
      <c r="H4" s="180"/>
    </row>
    <row r="5" spans="2:8">
      <c r="B5" s="195">
        <v>22</v>
      </c>
      <c r="C5" s="458">
        <v>0</v>
      </c>
      <c r="D5" s="459"/>
      <c r="E5" s="460"/>
      <c r="F5" s="169"/>
      <c r="G5" s="169"/>
      <c r="H5" s="180"/>
    </row>
    <row r="6" spans="2:8" ht="15.75" customHeight="1">
      <c r="B6" s="205"/>
      <c r="C6" s="206"/>
      <c r="D6" s="206"/>
      <c r="E6" s="206"/>
      <c r="F6" s="206"/>
      <c r="G6" s="206"/>
      <c r="H6" s="180"/>
    </row>
    <row r="7" spans="2:8">
      <c r="B7" s="205"/>
      <c r="C7" s="206"/>
      <c r="D7" s="206"/>
      <c r="E7" s="206"/>
      <c r="F7" s="206"/>
      <c r="G7" s="206"/>
      <c r="H7" s="180"/>
    </row>
    <row r="8" spans="2:8">
      <c r="B8" s="183"/>
      <c r="C8" s="169"/>
      <c r="D8" s="461" t="s">
        <v>315</v>
      </c>
      <c r="E8" s="462"/>
      <c r="F8" s="462"/>
      <c r="G8" s="462"/>
      <c r="H8" s="180"/>
    </row>
    <row r="9" spans="2:8" ht="63.75">
      <c r="B9" s="210" t="s">
        <v>296</v>
      </c>
      <c r="C9" s="201" t="s">
        <v>325</v>
      </c>
      <c r="D9" s="200" t="s">
        <v>326</v>
      </c>
      <c r="E9" s="200" t="s">
        <v>312</v>
      </c>
      <c r="F9" s="200" t="s">
        <v>300</v>
      </c>
      <c r="G9" s="201" t="s">
        <v>327</v>
      </c>
      <c r="H9" s="180"/>
    </row>
    <row r="10" spans="2:8">
      <c r="B10" s="218" t="s">
        <v>319</v>
      </c>
      <c r="C10" s="202">
        <f>$B$5*$C$5</f>
        <v>0</v>
      </c>
      <c r="D10" s="207">
        <f>'PLANILHA FORMAÇÃO DE PREÇO'!E13</f>
        <v>1651</v>
      </c>
      <c r="E10" s="198">
        <v>0</v>
      </c>
      <c r="F10" s="203">
        <f>C10*E10</f>
        <v>0</v>
      </c>
      <c r="G10" s="199">
        <f>C10-F10</f>
        <v>0</v>
      </c>
      <c r="H10" s="180"/>
    </row>
    <row r="11" spans="2:8">
      <c r="B11" s="218" t="s">
        <v>318</v>
      </c>
      <c r="C11" s="202">
        <v>0</v>
      </c>
      <c r="D11" s="203">
        <v>0</v>
      </c>
      <c r="E11" s="198">
        <v>0</v>
      </c>
      <c r="F11" s="203">
        <f>C11*E11</f>
        <v>0</v>
      </c>
      <c r="G11" s="199">
        <f>C11-F11</f>
        <v>0</v>
      </c>
      <c r="H11" s="180"/>
    </row>
    <row r="12" spans="2:8">
      <c r="B12" s="218" t="s">
        <v>320</v>
      </c>
      <c r="C12" s="202">
        <v>0</v>
      </c>
      <c r="D12" s="208">
        <v>0</v>
      </c>
      <c r="E12" s="198">
        <v>0</v>
      </c>
      <c r="F12" s="203">
        <f>C12*E12</f>
        <v>0</v>
      </c>
      <c r="G12" s="199">
        <f>C12-F12</f>
        <v>0</v>
      </c>
      <c r="H12" s="180"/>
    </row>
    <row r="13" spans="2:8">
      <c r="B13" s="218" t="s">
        <v>321</v>
      </c>
      <c r="C13" s="202">
        <v>0</v>
      </c>
      <c r="D13" s="203">
        <v>0</v>
      </c>
      <c r="E13" s="198">
        <v>0</v>
      </c>
      <c r="F13" s="203">
        <f>C13*E13</f>
        <v>0</v>
      </c>
      <c r="G13" s="199">
        <f>C13-F13</f>
        <v>0</v>
      </c>
      <c r="H13" s="180"/>
    </row>
    <row r="14" spans="2:8">
      <c r="B14" s="218" t="s">
        <v>322</v>
      </c>
      <c r="C14" s="202">
        <v>0</v>
      </c>
      <c r="D14" s="203">
        <v>0</v>
      </c>
      <c r="E14" s="198">
        <v>0</v>
      </c>
      <c r="F14" s="203">
        <f>C14*E14</f>
        <v>0</v>
      </c>
      <c r="G14" s="199">
        <f>C14-F14</f>
        <v>0</v>
      </c>
      <c r="H14" s="180"/>
    </row>
    <row r="15" spans="2:8">
      <c r="B15" s="204" t="s">
        <v>314</v>
      </c>
      <c r="C15" s="169"/>
      <c r="D15" s="169"/>
      <c r="E15" s="169"/>
      <c r="F15" s="169"/>
      <c r="G15" s="169"/>
      <c r="H15" s="180"/>
    </row>
    <row r="16" spans="2:8" ht="15.75" thickBot="1">
      <c r="B16" s="196"/>
      <c r="C16" s="197"/>
      <c r="D16" s="197"/>
      <c r="E16" s="197"/>
      <c r="F16" s="197"/>
      <c r="G16" s="197"/>
      <c r="H16" s="253"/>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52" t="s">
        <v>328</v>
      </c>
      <c r="C2" s="453"/>
      <c r="D2" s="453"/>
      <c r="E2" s="454"/>
    </row>
    <row r="3" spans="2:5">
      <c r="B3" s="219" t="s">
        <v>310</v>
      </c>
      <c r="E3" s="213"/>
    </row>
    <row r="4" spans="2:5">
      <c r="B4" s="220" t="s">
        <v>313</v>
      </c>
      <c r="E4" s="213"/>
    </row>
    <row r="5" spans="2:5">
      <c r="B5" s="217">
        <v>0</v>
      </c>
      <c r="E5" s="213"/>
    </row>
    <row r="6" spans="2:5" ht="15.75" customHeight="1">
      <c r="B6" s="205"/>
      <c r="C6" s="206"/>
      <c r="D6" s="206"/>
      <c r="E6" s="214"/>
    </row>
    <row r="7" spans="2:5">
      <c r="B7" s="205"/>
      <c r="C7" s="206"/>
      <c r="D7" s="206"/>
      <c r="E7" s="214"/>
    </row>
    <row r="8" spans="2:5">
      <c r="B8" s="183"/>
      <c r="C8" s="461" t="s">
        <v>316</v>
      </c>
      <c r="D8" s="461"/>
      <c r="E8" s="467"/>
    </row>
    <row r="9" spans="2:5" ht="38.25">
      <c r="B9" s="210" t="s">
        <v>296</v>
      </c>
      <c r="C9" s="200" t="s">
        <v>323</v>
      </c>
      <c r="D9" s="211" t="s">
        <v>324</v>
      </c>
      <c r="E9" s="215" t="s">
        <v>317</v>
      </c>
    </row>
    <row r="10" spans="2:5">
      <c r="B10" s="218" t="s">
        <v>319</v>
      </c>
      <c r="C10" s="207">
        <f>'PLANILHA FORMAÇÃO DE PREÇO'!E13</f>
        <v>1651</v>
      </c>
      <c r="D10" s="198">
        <v>0</v>
      </c>
      <c r="E10" s="216">
        <f>D10*$B$5</f>
        <v>0</v>
      </c>
    </row>
    <row r="11" spans="2:5">
      <c r="B11" s="218" t="s">
        <v>318</v>
      </c>
      <c r="C11" s="203">
        <v>0</v>
      </c>
      <c r="D11" s="198">
        <v>0</v>
      </c>
      <c r="E11" s="216">
        <f>D11*$B$5</f>
        <v>0</v>
      </c>
    </row>
    <row r="12" spans="2:5">
      <c r="B12" s="218" t="s">
        <v>320</v>
      </c>
      <c r="C12" s="208">
        <v>0</v>
      </c>
      <c r="D12" s="198">
        <v>0</v>
      </c>
      <c r="E12" s="216">
        <f>D12*$B$5</f>
        <v>0</v>
      </c>
    </row>
    <row r="13" spans="2:5">
      <c r="B13" s="218" t="s">
        <v>321</v>
      </c>
      <c r="C13" s="203">
        <v>0</v>
      </c>
      <c r="D13" s="198">
        <v>0</v>
      </c>
      <c r="E13" s="216">
        <f>D13*$B$5</f>
        <v>0</v>
      </c>
    </row>
    <row r="14" spans="2:5" ht="15.75" thickBot="1">
      <c r="B14" s="254" t="s">
        <v>322</v>
      </c>
      <c r="C14" s="255">
        <v>0</v>
      </c>
      <c r="D14" s="256">
        <v>0</v>
      </c>
      <c r="E14" s="257">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1"/>
  <sheetViews>
    <sheetView showGridLines="0" topLeftCell="B4" workbookViewId="0">
      <selection activeCell="H7" sqref="H7"/>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2.42578125" style="194" customWidth="1"/>
    <col min="11" max="16384" width="9.140625" style="194"/>
  </cols>
  <sheetData>
    <row r="1" spans="2:10" ht="15.75" thickBot="1"/>
    <row r="2" spans="2:10" ht="21.75" customHeight="1" thickBot="1">
      <c r="B2" s="452" t="s">
        <v>335</v>
      </c>
      <c r="C2" s="453"/>
      <c r="D2" s="453"/>
      <c r="E2" s="453"/>
      <c r="F2" s="453"/>
      <c r="G2" s="453"/>
      <c r="H2" s="453"/>
      <c r="I2" s="453"/>
      <c r="J2" s="453"/>
    </row>
    <row r="3" spans="2:10" ht="15" customHeight="1">
      <c r="B3" s="471"/>
      <c r="C3" s="472"/>
      <c r="D3" s="472"/>
      <c r="E3" s="472"/>
      <c r="F3" s="472"/>
      <c r="G3" s="472"/>
      <c r="H3" s="472"/>
      <c r="I3" s="472"/>
      <c r="J3" s="472"/>
    </row>
    <row r="4" spans="2:10" ht="30.75" customHeight="1">
      <c r="B4" s="473" t="s">
        <v>329</v>
      </c>
      <c r="C4" s="476" t="s">
        <v>330</v>
      </c>
      <c r="D4" s="479" t="s">
        <v>310</v>
      </c>
      <c r="E4" s="480"/>
      <c r="F4" s="481"/>
      <c r="G4" s="482" t="s">
        <v>371</v>
      </c>
      <c r="H4" s="483"/>
      <c r="I4" s="483"/>
      <c r="J4" s="484"/>
    </row>
    <row r="5" spans="2:10" ht="39" customHeight="1">
      <c r="B5" s="474"/>
      <c r="C5" s="477"/>
      <c r="D5" s="231" t="s">
        <v>369</v>
      </c>
      <c r="E5" s="231" t="s">
        <v>372</v>
      </c>
      <c r="F5" s="231" t="s">
        <v>374</v>
      </c>
      <c r="G5" s="485"/>
      <c r="H5" s="486"/>
      <c r="I5" s="486"/>
      <c r="J5" s="487"/>
    </row>
    <row r="6" spans="2:10" ht="39.75" customHeight="1">
      <c r="B6" s="475"/>
      <c r="C6" s="478"/>
      <c r="D6" s="245" t="s">
        <v>370</v>
      </c>
      <c r="E6" s="245" t="s">
        <v>373</v>
      </c>
      <c r="F6" s="245" t="s">
        <v>375</v>
      </c>
      <c r="G6" s="232" t="s">
        <v>331</v>
      </c>
      <c r="H6" s="232" t="s">
        <v>332</v>
      </c>
      <c r="I6" s="233" t="s">
        <v>311</v>
      </c>
      <c r="J6" s="233" t="s">
        <v>333</v>
      </c>
    </row>
    <row r="7" spans="2:10" ht="50.25" customHeight="1">
      <c r="B7" s="258">
        <v>1</v>
      </c>
      <c r="C7" s="221" t="s">
        <v>368</v>
      </c>
      <c r="D7" s="222">
        <v>100</v>
      </c>
      <c r="E7" s="222">
        <v>109.9</v>
      </c>
      <c r="F7" s="222">
        <v>99</v>
      </c>
      <c r="G7" s="223">
        <v>10</v>
      </c>
      <c r="H7" s="223">
        <v>10</v>
      </c>
      <c r="I7" s="222">
        <f>AVERAGE(D7:F7)</f>
        <v>102.96666666666665</v>
      </c>
      <c r="J7" s="222">
        <f>G7*H7*I7</f>
        <v>10296.666666666666</v>
      </c>
    </row>
    <row r="8" spans="2:10">
      <c r="B8" s="227"/>
      <c r="C8" s="224"/>
      <c r="D8" s="224"/>
      <c r="E8" s="470" t="s">
        <v>379</v>
      </c>
      <c r="F8" s="470"/>
      <c r="G8" s="468"/>
      <c r="H8" s="468"/>
      <c r="I8" s="469"/>
      <c r="J8" s="226">
        <f>SUM(J7:J7)</f>
        <v>10296.666666666666</v>
      </c>
    </row>
    <row r="9" spans="2:10">
      <c r="B9" s="227"/>
      <c r="C9" s="224"/>
      <c r="D9" s="224"/>
      <c r="E9" s="244" t="s">
        <v>334</v>
      </c>
      <c r="F9" s="244"/>
      <c r="G9" s="468"/>
      <c r="H9" s="468"/>
      <c r="I9" s="469"/>
      <c r="J9" s="226">
        <f>(J8/7)/60</f>
        <v>24.515873015873016</v>
      </c>
    </row>
    <row r="10" spans="2:10" ht="15.75" thickBot="1">
      <c r="B10" s="204"/>
      <c r="C10" s="259"/>
      <c r="D10" s="259"/>
      <c r="E10" s="259"/>
      <c r="F10" s="259"/>
      <c r="G10" s="228"/>
      <c r="H10" s="228"/>
      <c r="I10" s="228"/>
      <c r="J10" s="229"/>
    </row>
    <row r="11" spans="2:10">
      <c r="B11" s="260" t="s">
        <v>376</v>
      </c>
      <c r="C11" s="261" t="s">
        <v>377</v>
      </c>
      <c r="D11" s="263" t="s">
        <v>378</v>
      </c>
      <c r="E11" s="261"/>
      <c r="F11" s="262"/>
      <c r="G11" s="224"/>
      <c r="H11" s="224"/>
      <c r="I11" s="224"/>
      <c r="J11" s="224"/>
    </row>
    <row r="12" spans="2:10">
      <c r="C12" s="225"/>
    </row>
    <row r="17" s="194" customFormat="1"/>
    <row r="18" s="194" customFormat="1"/>
    <row r="22" s="194" customFormat="1"/>
    <row r="23" s="194" customFormat="1"/>
    <row r="24" s="194" customFormat="1"/>
    <row r="25" s="194" customFormat="1"/>
    <row r="26" s="194" customFormat="1"/>
    <row r="27" s="194" customFormat="1"/>
    <row r="28" s="194" customFormat="1"/>
    <row r="29" s="194" customFormat="1"/>
    <row r="31" s="194" customFormat="1"/>
  </sheetData>
  <mergeCells count="9">
    <mergeCell ref="G8:I8"/>
    <mergeCell ref="G9:I9"/>
    <mergeCell ref="E8:F8"/>
    <mergeCell ref="B2:J2"/>
    <mergeCell ref="B3:J3"/>
    <mergeCell ref="B4:B6"/>
    <mergeCell ref="C4:C6"/>
    <mergeCell ref="D4:F4"/>
    <mergeCell ref="G4:J5"/>
  </mergeCells>
  <hyperlinks>
    <hyperlink ref="D11" r:id="rId1" xr:uid="{1F64A272-D248-496C-986B-0BEE8292D1B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25"/>
  <sheetViews>
    <sheetView showGridLines="0" topLeftCell="A16" workbookViewId="0">
      <selection activeCell="H4" sqref="H4"/>
    </sheetView>
  </sheetViews>
  <sheetFormatPr defaultColWidth="9.140625" defaultRowHeight="15.75"/>
  <cols>
    <col min="1" max="1" width="9.140625" style="170"/>
    <col min="2" max="2" width="4.28515625" style="230" customWidth="1"/>
    <col min="3" max="3" width="28.7109375" style="230" bestFit="1" customWidth="1"/>
    <col min="4" max="4" width="10" style="230" customWidth="1"/>
    <col min="5" max="5" width="25.85546875" style="230" bestFit="1" customWidth="1"/>
    <col min="6" max="6" width="9.140625" style="230" customWidth="1"/>
    <col min="7" max="7" width="13.140625" style="230" customWidth="1"/>
    <col min="8" max="8" width="17.85546875" style="170" bestFit="1" customWidth="1"/>
    <col min="9" max="16384" width="9.140625" style="170"/>
  </cols>
  <sheetData>
    <row r="2" spans="2:8" ht="21.75" customHeight="1">
      <c r="B2" s="488" t="s">
        <v>342</v>
      </c>
      <c r="C2" s="489"/>
      <c r="D2" s="489"/>
      <c r="E2" s="489"/>
      <c r="F2" s="489"/>
      <c r="G2" s="489"/>
      <c r="H2" s="489"/>
    </row>
    <row r="3" spans="2:8" ht="15">
      <c r="B3" s="496"/>
      <c r="C3" s="497"/>
      <c r="D3" s="497"/>
      <c r="E3" s="497"/>
      <c r="F3" s="497"/>
      <c r="G3" s="497"/>
      <c r="H3" s="497"/>
    </row>
    <row r="4" spans="2:8" ht="30" customHeight="1">
      <c r="B4" s="235" t="s">
        <v>270</v>
      </c>
      <c r="C4" s="234" t="s">
        <v>271</v>
      </c>
      <c r="D4" s="234" t="s">
        <v>336</v>
      </c>
      <c r="E4" s="234" t="s">
        <v>354</v>
      </c>
      <c r="F4" s="234" t="s">
        <v>337</v>
      </c>
      <c r="G4" s="236" t="s">
        <v>310</v>
      </c>
      <c r="H4" s="236" t="s">
        <v>311</v>
      </c>
    </row>
    <row r="5" spans="2:8" ht="15">
      <c r="B5" s="507">
        <v>1</v>
      </c>
      <c r="C5" s="504" t="s">
        <v>380</v>
      </c>
      <c r="D5" s="504">
        <v>20</v>
      </c>
      <c r="E5" s="266" t="s">
        <v>381</v>
      </c>
      <c r="F5" s="266"/>
      <c r="G5" s="267">
        <v>61.8</v>
      </c>
      <c r="H5" s="498">
        <f>AVERAGE(G5:G8)</f>
        <v>62.957499999999996</v>
      </c>
    </row>
    <row r="6" spans="2:8" ht="15">
      <c r="B6" s="508"/>
      <c r="C6" s="505"/>
      <c r="D6" s="505"/>
      <c r="E6" s="266" t="s">
        <v>382</v>
      </c>
      <c r="F6" s="266"/>
      <c r="G6" s="267">
        <v>62.9</v>
      </c>
      <c r="H6" s="499"/>
    </row>
    <row r="7" spans="2:8" ht="15">
      <c r="B7" s="508"/>
      <c r="C7" s="505"/>
      <c r="D7" s="505"/>
      <c r="E7" s="266" t="s">
        <v>384</v>
      </c>
      <c r="F7" s="266"/>
      <c r="G7" s="267">
        <v>61.99</v>
      </c>
      <c r="H7" s="499"/>
    </row>
    <row r="8" spans="2:8" ht="15">
      <c r="B8" s="509"/>
      <c r="C8" s="506"/>
      <c r="D8" s="506"/>
      <c r="E8" s="266" t="s">
        <v>383</v>
      </c>
      <c r="F8" s="266"/>
      <c r="G8" s="267">
        <v>65.14</v>
      </c>
      <c r="H8" s="500"/>
    </row>
    <row r="9" spans="2:8" ht="15">
      <c r="B9" s="264"/>
      <c r="C9" s="504" t="s">
        <v>396</v>
      </c>
      <c r="D9" s="504">
        <v>20</v>
      </c>
      <c r="E9" s="266" t="s">
        <v>397</v>
      </c>
      <c r="F9" s="266"/>
      <c r="G9" s="267">
        <v>28.67</v>
      </c>
      <c r="H9" s="498">
        <f>AVERAGE(G9:G11)</f>
        <v>29.173333333333336</v>
      </c>
    </row>
    <row r="10" spans="2:8" ht="15">
      <c r="B10" s="264"/>
      <c r="C10" s="505"/>
      <c r="D10" s="505"/>
      <c r="E10" s="266" t="s">
        <v>398</v>
      </c>
      <c r="F10" s="266"/>
      <c r="G10" s="267">
        <v>28.95</v>
      </c>
      <c r="H10" s="499"/>
    </row>
    <row r="11" spans="2:8" ht="15">
      <c r="B11" s="264"/>
      <c r="C11" s="506"/>
      <c r="D11" s="506"/>
      <c r="E11" s="266" t="s">
        <v>399</v>
      </c>
      <c r="F11" s="266"/>
      <c r="G11" s="267">
        <v>29.9</v>
      </c>
      <c r="H11" s="500"/>
    </row>
    <row r="12" spans="2:8" ht="15">
      <c r="B12" s="507">
        <v>2</v>
      </c>
      <c r="C12" s="504" t="s">
        <v>390</v>
      </c>
      <c r="D12" s="504">
        <v>600</v>
      </c>
      <c r="E12" s="266" t="s">
        <v>391</v>
      </c>
      <c r="F12" s="266"/>
      <c r="G12" s="267">
        <v>3.55</v>
      </c>
      <c r="H12" s="498">
        <f>AVERAGE(G12:G16)</f>
        <v>3.9240000000000004</v>
      </c>
    </row>
    <row r="13" spans="2:8" ht="15">
      <c r="B13" s="508"/>
      <c r="C13" s="505"/>
      <c r="D13" s="505"/>
      <c r="E13" s="266" t="s">
        <v>392</v>
      </c>
      <c r="F13" s="266"/>
      <c r="G13" s="267">
        <v>3.7</v>
      </c>
      <c r="H13" s="499"/>
    </row>
    <row r="14" spans="2:8" ht="15">
      <c r="B14" s="508"/>
      <c r="C14" s="505"/>
      <c r="D14" s="505"/>
      <c r="E14" s="266" t="s">
        <v>393</v>
      </c>
      <c r="F14" s="266"/>
      <c r="G14" s="267">
        <v>3.76</v>
      </c>
      <c r="H14" s="499"/>
    </row>
    <row r="15" spans="2:8" ht="15">
      <c r="B15" s="508"/>
      <c r="C15" s="505"/>
      <c r="D15" s="505"/>
      <c r="E15" s="266" t="s">
        <v>395</v>
      </c>
      <c r="F15" s="266"/>
      <c r="G15" s="267">
        <v>4.45</v>
      </c>
      <c r="H15" s="499"/>
    </row>
    <row r="16" spans="2:8" ht="15">
      <c r="B16" s="509"/>
      <c r="C16" s="506"/>
      <c r="D16" s="506"/>
      <c r="E16" s="266" t="s">
        <v>394</v>
      </c>
      <c r="F16" s="266"/>
      <c r="G16" s="267">
        <v>4.16</v>
      </c>
      <c r="H16" s="500"/>
    </row>
    <row r="17" spans="2:8" ht="15.6" customHeight="1">
      <c r="B17" s="492">
        <v>2</v>
      </c>
      <c r="C17" s="493" t="s">
        <v>385</v>
      </c>
      <c r="D17" s="462">
        <v>240</v>
      </c>
      <c r="E17" s="265" t="s">
        <v>386</v>
      </c>
      <c r="F17" s="212"/>
      <c r="G17" s="237">
        <v>7.99</v>
      </c>
      <c r="H17" s="501">
        <f>AVERAGE(G17:G21)</f>
        <v>8.3040000000000003</v>
      </c>
    </row>
    <row r="18" spans="2:8" ht="15.6" customHeight="1">
      <c r="B18" s="492"/>
      <c r="C18" s="494"/>
      <c r="D18" s="462"/>
      <c r="E18" s="265" t="s">
        <v>387</v>
      </c>
      <c r="F18" s="212"/>
      <c r="G18" s="237">
        <v>8.3000000000000007</v>
      </c>
      <c r="H18" s="502"/>
    </row>
    <row r="19" spans="2:8" ht="15.6" customHeight="1">
      <c r="B19" s="492"/>
      <c r="C19" s="494"/>
      <c r="D19" s="462"/>
      <c r="E19" s="265" t="s">
        <v>381</v>
      </c>
      <c r="F19" s="212"/>
      <c r="G19" s="237">
        <v>8.99</v>
      </c>
      <c r="H19" s="502"/>
    </row>
    <row r="20" spans="2:8" ht="15.6" customHeight="1">
      <c r="B20" s="492"/>
      <c r="C20" s="494"/>
      <c r="D20" s="462"/>
      <c r="E20" s="265" t="s">
        <v>389</v>
      </c>
      <c r="F20" s="212"/>
      <c r="G20" s="237">
        <v>7.25</v>
      </c>
      <c r="H20" s="502"/>
    </row>
    <row r="21" spans="2:8" ht="15.6" customHeight="1">
      <c r="B21" s="492"/>
      <c r="C21" s="495"/>
      <c r="D21" s="462"/>
      <c r="E21" s="265" t="s">
        <v>388</v>
      </c>
      <c r="F21" s="212"/>
      <c r="G21" s="237">
        <v>8.99</v>
      </c>
      <c r="H21" s="503"/>
    </row>
    <row r="22" spans="2:8" ht="15.6" customHeight="1">
      <c r="B22" s="490" t="s">
        <v>338</v>
      </c>
      <c r="C22" s="491"/>
      <c r="D22" s="491"/>
      <c r="E22" s="491"/>
      <c r="F22" s="491"/>
      <c r="G22" s="238">
        <f>AVERAGE(G5:G21)</f>
        <v>23.558235294117647</v>
      </c>
    </row>
    <row r="23" spans="2:8" ht="15">
      <c r="B23" s="490" t="s">
        <v>339</v>
      </c>
      <c r="C23" s="491"/>
      <c r="D23" s="491"/>
      <c r="E23" s="491" t="s">
        <v>340</v>
      </c>
      <c r="F23" s="491"/>
      <c r="G23" s="238">
        <f>SUM(H5:H21)</f>
        <v>104.35883333333334</v>
      </c>
    </row>
    <row r="24" spans="2:8" ht="38.25">
      <c r="B24" s="265" t="s">
        <v>376</v>
      </c>
      <c r="C24" s="268" t="s">
        <v>400</v>
      </c>
      <c r="D24" s="269" t="s">
        <v>378</v>
      </c>
      <c r="E24" s="265"/>
      <c r="F24" s="265"/>
      <c r="G24" s="265"/>
    </row>
    <row r="25" spans="2:8">
      <c r="B25" s="170"/>
    </row>
  </sheetData>
  <mergeCells count="19">
    <mergeCell ref="B12:B16"/>
    <mergeCell ref="C9:C11"/>
    <mergeCell ref="D9:D11"/>
    <mergeCell ref="B2:H2"/>
    <mergeCell ref="B23:F23"/>
    <mergeCell ref="B17:B21"/>
    <mergeCell ref="C17:C21"/>
    <mergeCell ref="D17:D21"/>
    <mergeCell ref="B22:F22"/>
    <mergeCell ref="B3:H3"/>
    <mergeCell ref="H5:H8"/>
    <mergeCell ref="H9:H11"/>
    <mergeCell ref="H12:H16"/>
    <mergeCell ref="H17:H21"/>
    <mergeCell ref="C5:C8"/>
    <mergeCell ref="D5:D8"/>
    <mergeCell ref="B5:B8"/>
    <mergeCell ref="C12:C16"/>
    <mergeCell ref="D12:D16"/>
  </mergeCells>
  <hyperlinks>
    <hyperlink ref="D24" r:id="rId1" xr:uid="{32A95582-01BC-4E92-B5D1-9E3A039B6B7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dcterms:created xsi:type="dcterms:W3CDTF">2024-01-24T17:05:55Z</dcterms:created>
  <dcterms:modified xsi:type="dcterms:W3CDTF">2026-03-25T12:50:21Z</dcterms:modified>
  <cp:category/>
  <cp:contentStatus/>
</cp:coreProperties>
</file>