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\\S014\setores\TRABALHO\Projetos\16 - Douradina\16.23 - Polo Industrial\01. Loteamento Urbano_2024\08. Entrega\R01\02-Relatórios\01-Planilhas\"/>
    </mc:Choice>
  </mc:AlternateContent>
  <xr:revisionPtr revIDLastSave="0" documentId="13_ncr:1_{D7B618D2-2BA5-40A7-B8D4-545A82FEA529}" xr6:coauthVersionLast="47" xr6:coauthVersionMax="47" xr10:uidLastSave="{00000000-0000-0000-0000-000000000000}"/>
  <bookViews>
    <workbookView xWindow="28680" yWindow="-120" windowWidth="29040" windowHeight="15840" tabRatio="852" activeTab="1" xr2:uid="{00000000-000D-0000-FFFF-FFFF00000000}"/>
  </bookViews>
  <sheets>
    <sheet name="RESUMO DES" sheetId="55" r:id="rId1"/>
    <sheet name="RESUMO ND" sheetId="21" r:id="rId2"/>
    <sheet name="ORÇ. SINTÉTICO" sheetId="19" r:id="rId3"/>
    <sheet name="CPU" sheetId="20" r:id="rId4"/>
    <sheet name="CFF" sheetId="22" r:id="rId5"/>
    <sheet name="DMT" sheetId="9" r:id="rId6"/>
    <sheet name="PRELIMINARES" sheetId="10" r:id="rId7"/>
    <sheet name="DRENAGEM LOTEAMENTO" sheetId="45" r:id="rId8"/>
    <sheet name="PAVIMENTAÇÃO LOTEAMENTO" sheetId="46" r:id="rId9"/>
    <sheet name="REMENDO LOTEAMENTO" sheetId="54" r:id="rId10"/>
    <sheet name="CALÇADA LOTEAMENTO" sheetId="50" r:id="rId11"/>
    <sheet name="SINALIZAÇÃO LOTEAMENTO" sheetId="48" r:id="rId12"/>
    <sheet name="DRENAGEM ACESSO" sheetId="49" r:id="rId13"/>
    <sheet name="BACIA DETENÇÃO ACESSO" sheetId="53" r:id="rId14"/>
    <sheet name="PAVIMENTAÇÃO ACESSO" sheetId="52" r:id="rId15"/>
    <sheet name="DEMOLIÇÃO ACESSO" sheetId="43" r:id="rId16"/>
    <sheet name="SINALIZAÇÃO ACESSO" sheetId="51" r:id="rId17"/>
    <sheet name="COORD. PV" sheetId="47" r:id="rId18"/>
  </sheets>
  <definedNames>
    <definedName name="_xlnm._FilterDatabase" localSheetId="3" hidden="1">CPU!$B$7:$K$506</definedName>
    <definedName name="_xlnm._FilterDatabase" localSheetId="12" hidden="1">'DRENAGEM ACESSO'!$B$13:$AT$24</definedName>
    <definedName name="_xlnm._FilterDatabase" localSheetId="7" hidden="1">'DRENAGEM LOTEAMENTO'!$B$13:$AT$24</definedName>
    <definedName name="_Key1" localSheetId="13" hidden="1">#REF!</definedName>
    <definedName name="_Key1" localSheetId="15" hidden="1">#REF!</definedName>
    <definedName name="_Key1" localSheetId="5" hidden="1">#REF!</definedName>
    <definedName name="_Key1" localSheetId="12" hidden="1">#REF!</definedName>
    <definedName name="_Key1" localSheetId="7" hidden="1">#REF!</definedName>
    <definedName name="_Key1" localSheetId="14" hidden="1">#REF!</definedName>
    <definedName name="_Key1" localSheetId="8" hidden="1">#REF!</definedName>
    <definedName name="_Key1" localSheetId="9" hidden="1">#REF!</definedName>
    <definedName name="_Key1" localSheetId="16" hidden="1">#REF!</definedName>
    <definedName name="_Key1" localSheetId="11" hidden="1">#REF!</definedName>
    <definedName name="_Key1" hidden="1">#REF!</definedName>
    <definedName name="_Key2" localSheetId="13" hidden="1">#REF!</definedName>
    <definedName name="_Key2" localSheetId="15" hidden="1">#REF!</definedName>
    <definedName name="_Key2" localSheetId="5" hidden="1">#REF!</definedName>
    <definedName name="_Key2" localSheetId="12" hidden="1">#REF!</definedName>
    <definedName name="_Key2" localSheetId="7" hidden="1">#REF!</definedName>
    <definedName name="_Key2" localSheetId="14" hidden="1">#REF!</definedName>
    <definedName name="_Key2" localSheetId="8" hidden="1">#REF!</definedName>
    <definedName name="_Key2" localSheetId="9" hidden="1">#REF!</definedName>
    <definedName name="_Key2" localSheetId="16" hidden="1">#REF!</definedName>
    <definedName name="_Key2" localSheetId="11" hidden="1">#REF!</definedName>
    <definedName name="_Key2" hidden="1">#REF!</definedName>
    <definedName name="_Order1" hidden="1">255</definedName>
    <definedName name="_Order2" hidden="1">255</definedName>
    <definedName name="_Sort" localSheetId="13" hidden="1">#REF!</definedName>
    <definedName name="_Sort" localSheetId="15" hidden="1">#REF!</definedName>
    <definedName name="_Sort" localSheetId="5" hidden="1">#REF!</definedName>
    <definedName name="_Sort" localSheetId="12" hidden="1">#REF!</definedName>
    <definedName name="_Sort" localSheetId="7" hidden="1">#REF!</definedName>
    <definedName name="_Sort" localSheetId="14" hidden="1">#REF!</definedName>
    <definedName name="_Sort" localSheetId="8" hidden="1">#REF!</definedName>
    <definedName name="_Sort" localSheetId="9" hidden="1">#REF!</definedName>
    <definedName name="_Sort" localSheetId="16" hidden="1">#REF!</definedName>
    <definedName name="_Sort" localSheetId="11" hidden="1">#REF!</definedName>
    <definedName name="_Sort" hidden="1">#REF!</definedName>
    <definedName name="_xlnm.Print_Area" localSheetId="13">'BACIA DETENÇÃO ACESSO'!$B$2:$I$18</definedName>
    <definedName name="_xlnm.Print_Area" localSheetId="10">'CALÇADA LOTEAMENTO'!$B$2:$U$41</definedName>
    <definedName name="_xlnm.Print_Area" localSheetId="4">CFF!$B$2:$L$15</definedName>
    <definedName name="_xlnm.Print_Area" localSheetId="3">CPU!$B$2:$K$509</definedName>
    <definedName name="_xlnm.Print_Area" localSheetId="15">'DEMOLIÇÃO ACESSO'!$D$4:$L$13</definedName>
    <definedName name="_xlnm.Print_Area" localSheetId="5">DMT!$B$3:$F$14</definedName>
    <definedName name="_xlnm.Print_Area" localSheetId="12">'DRENAGEM ACESSO'!$AV$10:$DH$55</definedName>
    <definedName name="_xlnm.Print_Area" localSheetId="7">'DRENAGEM LOTEAMENTO'!$AV$9:$DG$54</definedName>
    <definedName name="_xlnm.Print_Area" localSheetId="2">'ORÇ. SINTÉTICO'!$B$2:$L$192</definedName>
    <definedName name="_xlnm.Print_Area" localSheetId="14">'PAVIMENTAÇÃO ACESSO'!$A$1:$AM$19</definedName>
    <definedName name="_xlnm.Print_Area" localSheetId="8">'PAVIMENTAÇÃO LOTEAMENTO'!$A$1:$AM$22</definedName>
    <definedName name="_xlnm.Print_Area" localSheetId="6">PRELIMINARES!$B$3:$G$14</definedName>
    <definedName name="_xlnm.Print_Area" localSheetId="0">'RESUMO DES'!$B$2:$J$15</definedName>
    <definedName name="_xlnm.Print_Area" localSheetId="1">'RESUMO ND'!$B$2:$J$15</definedName>
    <definedName name="_xlnm.Print_Area" localSheetId="16">'SINALIZAÇÃO ACESSO'!$B$2:$H$32</definedName>
    <definedName name="_xlnm.Print_Area" localSheetId="11">'SINALIZAÇÃO LOTEAMENTO'!$B$2:$H$26</definedName>
    <definedName name="Bloco" localSheetId="12" hidden="1">#REF!</definedName>
    <definedName name="Bloco" localSheetId="0" hidden="1">#REF!</definedName>
    <definedName name="Bloco" hidden="1">#REF!</definedName>
    <definedName name="Bloco2" localSheetId="12" hidden="1">#REF!</definedName>
    <definedName name="Bloco2" localSheetId="0" hidden="1">#REF!</definedName>
    <definedName name="Bloco2" hidden="1">#REF!</definedName>
    <definedName name="CadIns" localSheetId="10" hidden="1">#REF!</definedName>
    <definedName name="CadIns" localSheetId="12" hidden="1">#REF!</definedName>
    <definedName name="CadIns" localSheetId="7" hidden="1">#REF!</definedName>
    <definedName name="CadIns" localSheetId="9" hidden="1">#REF!</definedName>
    <definedName name="CadIns" localSheetId="0" hidden="1">#REF!</definedName>
    <definedName name="CadIns" localSheetId="16" hidden="1">#REF!</definedName>
    <definedName name="CadIns" localSheetId="11" hidden="1">#REF!</definedName>
    <definedName name="CadIns" hidden="1">#REF!</definedName>
    <definedName name="CadSrv" localSheetId="12" hidden="1">#REF!</definedName>
    <definedName name="CadSrv" localSheetId="0" hidden="1">#REF!</definedName>
    <definedName name="CadSrv" hidden="1">#REF!</definedName>
    <definedName name="cch" hidden="1">#N/A</definedName>
    <definedName name="CdQtEqA" hidden="1">2</definedName>
    <definedName name="CdQtEqP" hidden="1">2</definedName>
    <definedName name="CdQtMoA" hidden="1">2</definedName>
    <definedName name="CdQtMoP" hidden="1">2</definedName>
    <definedName name="CdQtMpA" hidden="1">5</definedName>
    <definedName name="CdQtMpP" hidden="1">5</definedName>
    <definedName name="CdQtTrA" hidden="1">2</definedName>
    <definedName name="CdQtTrP" hidden="1">2</definedName>
    <definedName name="Chave" localSheetId="12" hidden="1">#REF!</definedName>
    <definedName name="Chave" localSheetId="0" hidden="1">#REF!</definedName>
    <definedName name="Chave" hidden="1">#REF!</definedName>
    <definedName name="Chave1" localSheetId="12" hidden="1">#REF!</definedName>
    <definedName name="Chave1" localSheetId="0" hidden="1">#REF!</definedName>
    <definedName name="Chave1" hidden="1">#REF!</definedName>
    <definedName name="Clas" localSheetId="12" hidden="1">MAX(LEN(#REF!))</definedName>
    <definedName name="Clas" localSheetId="0" hidden="1">MAX(LEN(#REF!))</definedName>
    <definedName name="Clas" hidden="1">MAX(LEN(#REF!))</definedName>
    <definedName name="Cliente" hidden="1">""</definedName>
    <definedName name="Cls" hidden="1">#N/A</definedName>
    <definedName name="Cod" localSheetId="12" hidden="1">#REF!</definedName>
    <definedName name="Cod" localSheetId="0" hidden="1">#REF!</definedName>
    <definedName name="Cod" hidden="1">#REF!</definedName>
    <definedName name="Codigo" localSheetId="12" hidden="1">#REF!</definedName>
    <definedName name="Codigo" localSheetId="0" hidden="1">#REF!</definedName>
    <definedName name="Codigo" hidden="1">#REF!</definedName>
    <definedName name="Coluna" localSheetId="12" hidden="1">#REF!</definedName>
    <definedName name="Coluna" localSheetId="0" hidden="1">#REF!</definedName>
    <definedName name="Coluna" hidden="1">#REF!</definedName>
    <definedName name="CpuAux" localSheetId="10" hidden="1">#REF!</definedName>
    <definedName name="CpuAux" localSheetId="12" hidden="1">#REF!</definedName>
    <definedName name="CpuAux" localSheetId="7" hidden="1">#REF!</definedName>
    <definedName name="CpuAux" localSheetId="9" hidden="1">#REF!</definedName>
    <definedName name="CpuAux" localSheetId="0" hidden="1">#REF!</definedName>
    <definedName name="CpuAux" localSheetId="16" hidden="1">#REF!</definedName>
    <definedName name="CpuAux" localSheetId="11" hidden="1">#REF!</definedName>
    <definedName name="CpuAux" hidden="1">#REF!</definedName>
    <definedName name="CPUs" localSheetId="12" hidden="1">#REF!</definedName>
    <definedName name="CPUs" localSheetId="0" hidden="1">#REF!</definedName>
    <definedName name="CPUs" hidden="1">#REF!</definedName>
    <definedName name="CRIT" localSheetId="10" hidden="1">#REF!</definedName>
    <definedName name="CRIT" localSheetId="12" hidden="1">#REF!</definedName>
    <definedName name="CRIT" localSheetId="7" hidden="1">#REF!</definedName>
    <definedName name="CRIT" localSheetId="9" hidden="1">#REF!</definedName>
    <definedName name="CRIT" localSheetId="0" hidden="1">#REF!</definedName>
    <definedName name="CRIT" localSheetId="16" hidden="1">#REF!</definedName>
    <definedName name="CRIT" localSheetId="11" hidden="1">#REF!</definedName>
    <definedName name="CRIT" hidden="1">#REF!</definedName>
    <definedName name="_xlnm.Criteria" localSheetId="5" hidden="1">#REF!</definedName>
    <definedName name="CunEq" localSheetId="13" hidden="1">SUM(IF(#REF! =#REF!,(#REF!)*(#REF!="EQ")))</definedName>
    <definedName name="CunEq" localSheetId="10" hidden="1">SUM(IF(#REF! =#REF!,(#REF!)*(#REF!="EQ")))</definedName>
    <definedName name="CunEq" localSheetId="17" hidden="1">SUM(IF(#REF! =#REF!,(#REF!)*(#REF!="EQ")))</definedName>
    <definedName name="CunEq" localSheetId="15" hidden="1">SUM(IF(#REF! =#REF!,(#REF!)*(#REF!="EQ")))</definedName>
    <definedName name="CunEq" localSheetId="12" hidden="1">SUM(IF(#REF! =#REF!,(#REF!)*(#REF!="EQ")))</definedName>
    <definedName name="CunEq" localSheetId="7" hidden="1">SUM(IF(#REF! =#REF!,(#REF!)*(#REF!="EQ")))</definedName>
    <definedName name="CunEq" localSheetId="14" hidden="1">SUM(IF(#REF! =#REF!,(#REF!)*(#REF!="EQ")))</definedName>
    <definedName name="CunEq" localSheetId="8" hidden="1">SUM(IF(#REF! =#REF!,(#REF!)*(#REF!="EQ")))</definedName>
    <definedName name="CunEq" localSheetId="9" hidden="1">SUM(IF(#REF! =#REF!,(#REF!)*(#REF!="EQ")))</definedName>
    <definedName name="CunEq" localSheetId="0" hidden="1">SUM(IF(#REF! =#REF!,(#REF!)*(#REF!="EQ")))</definedName>
    <definedName name="CunEq" localSheetId="16" hidden="1">SUM(IF(#REF! =#REF!,(#REF!)*(#REF!="EQ")))</definedName>
    <definedName name="CunEq" localSheetId="11" hidden="1">SUM(IF(#REF! =#REF!,(#REF!)*(#REF!="EQ")))</definedName>
    <definedName name="CunEq" hidden="1">SUM(IF(#REF! =#REF!,(#REF!)*(#REF!="EQ")))</definedName>
    <definedName name="CunMo" localSheetId="13" hidden="1">SUM(IF(#REF! =#REF!,(#REF!)*(#REF!="MO")))</definedName>
    <definedName name="CunMo" localSheetId="10" hidden="1">SUM(IF(#REF! =#REF!,(#REF!)*(#REF!="MO")))</definedName>
    <definedName name="CunMo" localSheetId="17" hidden="1">SUM(IF(#REF! =#REF!,(#REF!)*(#REF!="MO")))</definedName>
    <definedName name="CunMo" localSheetId="15" hidden="1">SUM(IF(#REF! =#REF!,(#REF!)*(#REF!="MO")))</definedName>
    <definedName name="CunMo" localSheetId="12" hidden="1">SUM(IF(#REF! =#REF!,(#REF!)*(#REF!="MO")))</definedName>
    <definedName name="CunMo" localSheetId="7" hidden="1">SUM(IF(#REF! =#REF!,(#REF!)*(#REF!="MO")))</definedName>
    <definedName name="CunMo" localSheetId="14" hidden="1">SUM(IF(#REF! =#REF!,(#REF!)*(#REF!="MO")))</definedName>
    <definedName name="CunMo" localSheetId="8" hidden="1">SUM(IF(#REF! =#REF!,(#REF!)*(#REF!="MO")))</definedName>
    <definedName name="CunMo" localSheetId="9" hidden="1">SUM(IF(#REF! =#REF!,(#REF!)*(#REF!="MO")))</definedName>
    <definedName name="CunMo" localSheetId="0" hidden="1">SUM(IF(#REF! =#REF!,(#REF!)*(#REF!="MO")))</definedName>
    <definedName name="CunMo" localSheetId="16" hidden="1">SUM(IF(#REF! =#REF!,(#REF!)*(#REF!="MO")))</definedName>
    <definedName name="CunMo" localSheetId="11" hidden="1">SUM(IF(#REF! =#REF!,(#REF!)*(#REF!="MO")))</definedName>
    <definedName name="CunMo" hidden="1">SUM(IF(#REF! =#REF!,(#REF!)*(#REF!="MO")))</definedName>
    <definedName name="CunMp" localSheetId="13" hidden="1">SUM(IF(#REF! =#REF!,(#REF!)*(#REF!="MP")))</definedName>
    <definedName name="CunMp" localSheetId="10" hidden="1">SUM(IF(#REF! =#REF!,(#REF!)*(#REF!="MP")))</definedName>
    <definedName name="CunMp" localSheetId="17" hidden="1">SUM(IF(#REF! =#REF!,(#REF!)*(#REF!="MP")))</definedName>
    <definedName name="CunMp" localSheetId="15" hidden="1">SUM(IF(#REF! =#REF!,(#REF!)*(#REF!="MP")))</definedName>
    <definedName name="CunMp" localSheetId="12" hidden="1">SUM(IF(#REF! =#REF!,(#REF!)*(#REF!="MP")))</definedName>
    <definedName name="CunMp" localSheetId="7" hidden="1">SUM(IF(#REF! =#REF!,(#REF!)*(#REF!="MP")))</definedName>
    <definedName name="CunMp" localSheetId="14" hidden="1">SUM(IF(#REF! =#REF!,(#REF!)*(#REF!="MP")))</definedName>
    <definedName name="CunMp" localSheetId="8" hidden="1">SUM(IF(#REF! =#REF!,(#REF!)*(#REF!="MP")))</definedName>
    <definedName name="CunMp" localSheetId="9" hidden="1">SUM(IF(#REF! =#REF!,(#REF!)*(#REF!="MP")))</definedName>
    <definedName name="CunMp" localSheetId="0" hidden="1">SUM(IF(#REF! =#REF!,(#REF!)*(#REF!="MP")))</definedName>
    <definedName name="CunMp" localSheetId="16" hidden="1">SUM(IF(#REF! =#REF!,(#REF!)*(#REF!="MP")))</definedName>
    <definedName name="CunMp" localSheetId="11" hidden="1">SUM(IF(#REF! =#REF!,(#REF!)*(#REF!="MP")))</definedName>
    <definedName name="CunMp" hidden="1">SUM(IF(#REF! =#REF!,(#REF!)*(#REF!="MP")))</definedName>
    <definedName name="DescAux" hidden="1">#N/A</definedName>
    <definedName name="dghzdfhsd" localSheetId="13" hidden="1">{#N/A,#N/A,FALSE,"Pla_Preço";#N/A,#N/A,FALSE,"Crono"}</definedName>
    <definedName name="dghzdfhsd" localSheetId="10" hidden="1">{#N/A,#N/A,FALSE,"Pla_Preço";#N/A,#N/A,FALSE,"Crono"}</definedName>
    <definedName name="dghzdfhsd" localSheetId="17" hidden="1">{#N/A,#N/A,FALSE,"Pla_Preço";#N/A,#N/A,FALSE,"Crono"}</definedName>
    <definedName name="dghzdfhsd" localSheetId="15" hidden="1">{#N/A,#N/A,FALSE,"Pla_Preço";#N/A,#N/A,FALSE,"Crono"}</definedName>
    <definedName name="dghzdfhsd" localSheetId="5" hidden="1">{#N/A,#N/A,FALSE,"Pla_Preço";#N/A,#N/A,FALSE,"Crono"}</definedName>
    <definedName name="dghzdfhsd" localSheetId="12" hidden="1">{#N/A,#N/A,FALSE,"Pla_Preço";#N/A,#N/A,FALSE,"Crono"}</definedName>
    <definedName name="dghzdfhsd" localSheetId="7" hidden="1">{#N/A,#N/A,FALSE,"Pla_Preço";#N/A,#N/A,FALSE,"Crono"}</definedName>
    <definedName name="dghzdfhsd" localSheetId="14" hidden="1">{#N/A,#N/A,FALSE,"Pla_Preço";#N/A,#N/A,FALSE,"Crono"}</definedName>
    <definedName name="dghzdfhsd" localSheetId="8" hidden="1">{#N/A,#N/A,FALSE,"Pla_Preço";#N/A,#N/A,FALSE,"Crono"}</definedName>
    <definedName name="dghzdfhsd" localSheetId="6" hidden="1">{#N/A,#N/A,FALSE,"Pla_Preço";#N/A,#N/A,FALSE,"Crono"}</definedName>
    <definedName name="dghzdfhsd" localSheetId="9" hidden="1">{#N/A,#N/A,FALSE,"Pla_Preço";#N/A,#N/A,FALSE,"Crono"}</definedName>
    <definedName name="dghzdfhsd" localSheetId="16" hidden="1">{#N/A,#N/A,FALSE,"Pla_Preço";#N/A,#N/A,FALSE,"Crono"}</definedName>
    <definedName name="dghzdfhsd" localSheetId="11" hidden="1">{#N/A,#N/A,FALSE,"Pla_Preço";#N/A,#N/A,FALSE,"Crono"}</definedName>
    <definedName name="dghzdfhsd" hidden="1">{#N/A,#N/A,FALSE,"Pla_Preço";#N/A,#N/A,FALSE,"Crono"}</definedName>
    <definedName name="DMT_BF">DMT!$E$12</definedName>
    <definedName name="DMT_BRITA">DMT!$E$9</definedName>
    <definedName name="DMT_CBUQ">DMT!$E$6</definedName>
    <definedName name="DMT_EAI">DMT!$E$8</definedName>
    <definedName name="DMT_EMPRÉSTIMO">DMT!$E$14</definedName>
    <definedName name="DMT_JAZIDA">DMT!$E$13</definedName>
    <definedName name="DMT_PISO_TÁTIL">DMT!$E$11</definedName>
    <definedName name="DMT_RR_2C">DMT!$E$7</definedName>
    <definedName name="DMT_TUBOS_GRAMAS">DMT!$E$10</definedName>
    <definedName name="dsgjhxgn" localSheetId="13" hidden="1">{#N/A,#N/A,FALSE,"Pla_Preço";#N/A,#N/A,FALSE,"Crono"}</definedName>
    <definedName name="dsgjhxgn" localSheetId="10" hidden="1">{#N/A,#N/A,FALSE,"Pla_Preço";#N/A,#N/A,FALSE,"Crono"}</definedName>
    <definedName name="dsgjhxgn" localSheetId="17" hidden="1">{#N/A,#N/A,FALSE,"Pla_Preço";#N/A,#N/A,FALSE,"Crono"}</definedName>
    <definedName name="dsgjhxgn" localSheetId="15" hidden="1">{#N/A,#N/A,FALSE,"Pla_Preço";#N/A,#N/A,FALSE,"Crono"}</definedName>
    <definedName name="dsgjhxgn" localSheetId="5" hidden="1">{#N/A,#N/A,FALSE,"Pla_Preço";#N/A,#N/A,FALSE,"Crono"}</definedName>
    <definedName name="dsgjhxgn" localSheetId="12" hidden="1">{#N/A,#N/A,FALSE,"Pla_Preço";#N/A,#N/A,FALSE,"Crono"}</definedName>
    <definedName name="dsgjhxgn" localSheetId="7" hidden="1">{#N/A,#N/A,FALSE,"Pla_Preço";#N/A,#N/A,FALSE,"Crono"}</definedName>
    <definedName name="dsgjhxgn" localSheetId="14" hidden="1">{#N/A,#N/A,FALSE,"Pla_Preço";#N/A,#N/A,FALSE,"Crono"}</definedName>
    <definedName name="dsgjhxgn" localSheetId="8" hidden="1">{#N/A,#N/A,FALSE,"Pla_Preço";#N/A,#N/A,FALSE,"Crono"}</definedName>
    <definedName name="dsgjhxgn" localSheetId="6" hidden="1">{#N/A,#N/A,FALSE,"Pla_Preço";#N/A,#N/A,FALSE,"Crono"}</definedName>
    <definedName name="dsgjhxgn" localSheetId="9" hidden="1">{#N/A,#N/A,FALSE,"Pla_Preço";#N/A,#N/A,FALSE,"Crono"}</definedName>
    <definedName name="dsgjhxgn" localSheetId="16" hidden="1">{#N/A,#N/A,FALSE,"Pla_Preço";#N/A,#N/A,FALSE,"Crono"}</definedName>
    <definedName name="dsgjhxgn" localSheetId="11" hidden="1">{#N/A,#N/A,FALSE,"Pla_Preço";#N/A,#N/A,FALSE,"Crono"}</definedName>
    <definedName name="dsgjhxgn" hidden="1">{#N/A,#N/A,FALSE,"Pla_Preço";#N/A,#N/A,FALSE,"Crono"}</definedName>
    <definedName name="EmpAux" hidden="1">""</definedName>
    <definedName name="EQ" localSheetId="10" hidden="1">#REF!</definedName>
    <definedName name="EQ" localSheetId="12" hidden="1">#REF!</definedName>
    <definedName name="EQ" localSheetId="7" hidden="1">#REF!</definedName>
    <definedName name="EQ" localSheetId="9" hidden="1">#REF!</definedName>
    <definedName name="EQ" localSheetId="0" hidden="1">#REF!</definedName>
    <definedName name="EQ" localSheetId="16" hidden="1">#REF!</definedName>
    <definedName name="EQ" localSheetId="11" hidden="1">#REF!</definedName>
    <definedName name="EQ" hidden="1">#REF!</definedName>
    <definedName name="Insumos" localSheetId="5" hidden="1">#REF!</definedName>
    <definedName name="Itens" localSheetId="12" hidden="1">#REF!</definedName>
    <definedName name="Itens" localSheetId="0" hidden="1">#REF!</definedName>
    <definedName name="Itens" hidden="1">#REF!</definedName>
    <definedName name="Local" localSheetId="5" hidden="1">""</definedName>
    <definedName name="Max" localSheetId="12" hidden="1">COUNTIF(#REF!,"&lt;&gt;0")+3</definedName>
    <definedName name="Max" localSheetId="0" hidden="1">COUNTIF(#REF!,"&lt;&gt;0")+3</definedName>
    <definedName name="Max" hidden="1">COUNTIF(#REF!,"&lt;&gt;0")+3</definedName>
    <definedName name="MO" localSheetId="12" hidden="1">#REF!</definedName>
    <definedName name="MO" localSheetId="0" hidden="1">#REF!</definedName>
    <definedName name="MO" hidden="1">#REF!</definedName>
    <definedName name="Modelo" localSheetId="12" hidden="1">#REF!</definedName>
    <definedName name="Modelo" localSheetId="0" hidden="1">#REF!</definedName>
    <definedName name="Modelo" hidden="1">#REF!</definedName>
    <definedName name="MP" localSheetId="10" hidden="1">#REF!</definedName>
    <definedName name="MP" localSheetId="12" hidden="1">#REF!</definedName>
    <definedName name="MP" localSheetId="7" hidden="1">#REF!</definedName>
    <definedName name="MP" localSheetId="9" hidden="1">#REF!</definedName>
    <definedName name="MP" localSheetId="0" hidden="1">#REF!</definedName>
    <definedName name="MP" localSheetId="16" hidden="1">#REF!</definedName>
    <definedName name="MP" localSheetId="11" hidden="1">#REF!</definedName>
    <definedName name="MP" hidden="1">#REF!</definedName>
    <definedName name="NLEq" hidden="1">4</definedName>
    <definedName name="NLMo" hidden="1">6</definedName>
    <definedName name="NLMp" hidden="1">5</definedName>
    <definedName name="NLTr" hidden="1">3</definedName>
    <definedName name="Obra" localSheetId="5" hidden="1">""</definedName>
    <definedName name="OnOff" hidden="1">"ON"</definedName>
    <definedName name="Ordem" localSheetId="10" hidden="1">#REF!</definedName>
    <definedName name="Ordem" localSheetId="12" hidden="1">#REF!</definedName>
    <definedName name="Ordem" localSheetId="7" hidden="1">#REF!</definedName>
    <definedName name="Ordem" localSheetId="9" hidden="1">#REF!</definedName>
    <definedName name="Ordem" localSheetId="0" hidden="1">#REF!</definedName>
    <definedName name="Ordem" localSheetId="16" hidden="1">#REF!</definedName>
    <definedName name="Ordem" localSheetId="11" hidden="1">#REF!</definedName>
    <definedName name="Ordem" hidden="1">#REF!</definedName>
    <definedName name="Origem" localSheetId="10" hidden="1">#REF!</definedName>
    <definedName name="Origem" localSheetId="12" hidden="1">#REF!</definedName>
    <definedName name="Origem" localSheetId="7" hidden="1">#REF!</definedName>
    <definedName name="Origem" localSheetId="9" hidden="1">#REF!</definedName>
    <definedName name="Origem" localSheetId="0" hidden="1">#REF!</definedName>
    <definedName name="Origem" localSheetId="16" hidden="1">#REF!</definedName>
    <definedName name="Origem" localSheetId="11" hidden="1">#REF!</definedName>
    <definedName name="Origem" hidden="1">#REF!</definedName>
    <definedName name="Plan1" localSheetId="10" hidden="1">#REF!</definedName>
    <definedName name="Plan1" localSheetId="12" hidden="1">#REF!</definedName>
    <definedName name="Plan1" localSheetId="7" hidden="1">#REF!</definedName>
    <definedName name="Plan1" localSheetId="9" hidden="1">#REF!</definedName>
    <definedName name="Plan1" localSheetId="0" hidden="1">#REF!</definedName>
    <definedName name="Plan1" localSheetId="16" hidden="1">#REF!</definedName>
    <definedName name="Plan1" localSheetId="11" hidden="1">#REF!</definedName>
    <definedName name="Plan1" hidden="1">#REF!</definedName>
    <definedName name="Posição" localSheetId="10" hidden="1">#REF!</definedName>
    <definedName name="Posição" localSheetId="12" hidden="1">#REF!</definedName>
    <definedName name="Posição" localSheetId="7" hidden="1">#REF!</definedName>
    <definedName name="Posição" localSheetId="9" hidden="1">#REF!</definedName>
    <definedName name="Posição" localSheetId="0" hidden="1">#REF!</definedName>
    <definedName name="Posição" localSheetId="16" hidden="1">#REF!</definedName>
    <definedName name="Posição" localSheetId="11" hidden="1">#REF!</definedName>
    <definedName name="Posição" hidden="1">#REF!</definedName>
    <definedName name="Prd" hidden="1">#N/A</definedName>
    <definedName name="PrdAux" hidden="1">#N/A</definedName>
    <definedName name="QD" localSheetId="12" hidden="1">#REF!</definedName>
    <definedName name="QD" localSheetId="0" hidden="1">#REF!</definedName>
    <definedName name="QD" hidden="1">#REF!</definedName>
    <definedName name="QTD" localSheetId="10" hidden="1">#REF!</definedName>
    <definedName name="QTD" localSheetId="12" hidden="1">#REF!</definedName>
    <definedName name="QTD" localSheetId="7" hidden="1">#REF!</definedName>
    <definedName name="QTD" localSheetId="9" hidden="1">#REF!</definedName>
    <definedName name="QTD" localSheetId="0" hidden="1">#REF!</definedName>
    <definedName name="QTD" localSheetId="16" hidden="1">#REF!</definedName>
    <definedName name="QTD" localSheetId="11" hidden="1">#REF!</definedName>
    <definedName name="QTD" hidden="1">#REF!</definedName>
    <definedName name="QtEq" localSheetId="12" hidden="1">#REF!</definedName>
    <definedName name="QtEq" localSheetId="0" hidden="1">#REF!</definedName>
    <definedName name="QtEq" hidden="1">#REF!</definedName>
    <definedName name="QtMo" localSheetId="12" hidden="1">#REF!</definedName>
    <definedName name="QtMo" localSheetId="0" hidden="1">#REF!</definedName>
    <definedName name="QtMo" hidden="1">#REF!</definedName>
    <definedName name="QtMp" localSheetId="12" hidden="1">#REF!</definedName>
    <definedName name="QtMp" localSheetId="0" hidden="1">#REF!</definedName>
    <definedName name="QtMp" hidden="1">#REF!</definedName>
    <definedName name="QtTr" localSheetId="12" hidden="1">#REF!</definedName>
    <definedName name="QtTr" localSheetId="0" hidden="1">#REF!</definedName>
    <definedName name="QtTr" hidden="1">#REF!</definedName>
    <definedName name="Relat" localSheetId="10" hidden="1">#REF!</definedName>
    <definedName name="Relat" localSheetId="12" hidden="1">#REF!</definedName>
    <definedName name="Relat" localSheetId="9" hidden="1">#REF!</definedName>
    <definedName name="Relat" localSheetId="0" hidden="1">#REF!</definedName>
    <definedName name="Relat" localSheetId="16" hidden="1">#REF!</definedName>
    <definedName name="Relat" localSheetId="11" hidden="1">#REF!</definedName>
    <definedName name="Relat" hidden="1">#REF!</definedName>
    <definedName name="SE" localSheetId="5" hidden="1">#REF!</definedName>
    <definedName name="SRV" localSheetId="10" hidden="1">#REF!</definedName>
    <definedName name="SRV" localSheetId="12" hidden="1">#REF!</definedName>
    <definedName name="SRV" localSheetId="7" hidden="1">#REF!</definedName>
    <definedName name="SRV" localSheetId="9" hidden="1">#REF!</definedName>
    <definedName name="SRV" localSheetId="0" hidden="1">#REF!</definedName>
    <definedName name="SRV" localSheetId="16" hidden="1">#REF!</definedName>
    <definedName name="SRV" localSheetId="11" hidden="1">#REF!</definedName>
    <definedName name="SRV" hidden="1">#REF!</definedName>
    <definedName name="_xlnm.Print_Titles" localSheetId="3">CPU!$6:$6</definedName>
    <definedName name="_xlnm.Print_Titles" localSheetId="2">'ORÇ. SINTÉTICO'!$5:$5</definedName>
    <definedName name="TOT" localSheetId="12" hidden="1">#REF!</definedName>
    <definedName name="TOT" localSheetId="0" hidden="1">#REF!</definedName>
    <definedName name="TOT" hidden="1">#REF!</definedName>
    <definedName name="un" hidden="1">#N/A</definedName>
    <definedName name="UnidAux" hidden="1">#N/A</definedName>
    <definedName name="wrn.preco." localSheetId="13" hidden="1">{#N/A,#N/A,FALSE,"Pla_Preço";#N/A,#N/A,FALSE,"Crono"}</definedName>
    <definedName name="wrn.preco." localSheetId="10" hidden="1">{#N/A,#N/A,FALSE,"Pla_Preço";#N/A,#N/A,FALSE,"Crono"}</definedName>
    <definedName name="wrn.preco." localSheetId="17" hidden="1">{#N/A,#N/A,FALSE,"Pla_Preço";#N/A,#N/A,FALSE,"Crono"}</definedName>
    <definedName name="wrn.preco." localSheetId="15" hidden="1">{#N/A,#N/A,FALSE,"Pla_Preço";#N/A,#N/A,FALSE,"Crono"}</definedName>
    <definedName name="wrn.preco." localSheetId="5" hidden="1">{#N/A,#N/A,FALSE,"Pla_Preço";#N/A,#N/A,FALSE,"Crono"}</definedName>
    <definedName name="wrn.preco." localSheetId="12" hidden="1">{#N/A,#N/A,FALSE,"Pla_Preço";#N/A,#N/A,FALSE,"Crono"}</definedName>
    <definedName name="wrn.preco." localSheetId="7" hidden="1">{#N/A,#N/A,FALSE,"Pla_Preço";#N/A,#N/A,FALSE,"Crono"}</definedName>
    <definedName name="wrn.preco." localSheetId="14" hidden="1">{#N/A,#N/A,FALSE,"Pla_Preço";#N/A,#N/A,FALSE,"Crono"}</definedName>
    <definedName name="wrn.preco." localSheetId="8" hidden="1">{#N/A,#N/A,FALSE,"Pla_Preço";#N/A,#N/A,FALSE,"Crono"}</definedName>
    <definedName name="wrn.preco." localSheetId="6" hidden="1">{#N/A,#N/A,FALSE,"Pla_Preço";#N/A,#N/A,FALSE,"Crono"}</definedName>
    <definedName name="wrn.preco." localSheetId="9" hidden="1">{#N/A,#N/A,FALSE,"Pla_Preço";#N/A,#N/A,FALSE,"Crono"}</definedName>
    <definedName name="wrn.preco." localSheetId="16" hidden="1">{#N/A,#N/A,FALSE,"Pla_Preço";#N/A,#N/A,FALSE,"Crono"}</definedName>
    <definedName name="wrn.preco." localSheetId="11" hidden="1">{#N/A,#N/A,FALSE,"Pla_Preço";#N/A,#N/A,FALSE,"Crono"}</definedName>
    <definedName name="wrn.preco." hidden="1">{#N/A,#N/A,FALSE,"Pla_Preço";#N/A,#N/A,FALSE,"Crono"}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1" i="19" l="1"/>
  <c r="F167" i="19"/>
  <c r="F164" i="19"/>
  <c r="F160" i="19"/>
  <c r="F156" i="19"/>
  <c r="F153" i="19"/>
  <c r="F146" i="19"/>
  <c r="F141" i="19"/>
  <c r="F138" i="19"/>
  <c r="F135" i="19"/>
  <c r="F132" i="19"/>
  <c r="F121" i="19"/>
  <c r="F107" i="19"/>
  <c r="F92" i="19"/>
  <c r="F88" i="19"/>
  <c r="F83" i="19"/>
  <c r="F79" i="19"/>
  <c r="F76" i="19"/>
  <c r="F71" i="19"/>
  <c r="F68" i="19"/>
  <c r="F64" i="19"/>
  <c r="F60" i="19"/>
  <c r="F57" i="19"/>
  <c r="F52" i="19"/>
  <c r="F48" i="19"/>
  <c r="F42" i="19"/>
  <c r="F35" i="19"/>
  <c r="F19" i="19"/>
  <c r="AH10" i="46"/>
  <c r="L10" i="46"/>
  <c r="AL10" i="46"/>
  <c r="G7" i="48"/>
  <c r="U29" i="50"/>
  <c r="T29" i="50"/>
  <c r="S29" i="50"/>
  <c r="R29" i="50"/>
  <c r="Q29" i="50"/>
  <c r="M29" i="50"/>
  <c r="K29" i="50"/>
  <c r="J29" i="50"/>
  <c r="P25" i="50"/>
  <c r="S25" i="50" s="1"/>
  <c r="T25" i="50" s="1"/>
  <c r="O25" i="50"/>
  <c r="Q25" i="50" s="1"/>
  <c r="K25" i="50"/>
  <c r="R25" i="50" s="1"/>
  <c r="S27" i="50"/>
  <c r="T27" i="50" s="1"/>
  <c r="P27" i="50"/>
  <c r="O27" i="50"/>
  <c r="Q27" i="50" s="1"/>
  <c r="K27" i="50"/>
  <c r="R27" i="50" s="1"/>
  <c r="R9" i="46"/>
  <c r="R7" i="46"/>
  <c r="R8" i="46"/>
  <c r="R10" i="46"/>
  <c r="R6" i="46"/>
  <c r="G6" i="48"/>
  <c r="F26" i="48"/>
  <c r="H14" i="48"/>
  <c r="K10" i="46"/>
  <c r="K6" i="46"/>
  <c r="K7" i="46"/>
  <c r="K8" i="46"/>
  <c r="K9" i="46"/>
  <c r="D3" i="55"/>
  <c r="U25" i="50" l="1"/>
  <c r="U27" i="50"/>
  <c r="R11" i="46"/>
  <c r="F3" i="20"/>
  <c r="D3" i="22"/>
  <c r="G3" i="19"/>
  <c r="F5" i="53" l="1"/>
  <c r="Q20" i="46"/>
  <c r="Q19" i="46"/>
  <c r="F6" i="53"/>
  <c r="T6" i="46"/>
  <c r="T7" i="46"/>
  <c r="T8" i="46"/>
  <c r="T9" i="46"/>
  <c r="T10" i="46"/>
  <c r="S6" i="54"/>
  <c r="D6" i="54"/>
  <c r="C6" i="54"/>
  <c r="T5" i="54"/>
  <c r="T6" i="54" s="1"/>
  <c r="O5" i="54"/>
  <c r="L5" i="54"/>
  <c r="E5" i="54"/>
  <c r="E6" i="54" s="1"/>
  <c r="I5" i="54"/>
  <c r="I6" i="54" s="1"/>
  <c r="G5" i="54" l="1"/>
  <c r="G6" i="54" s="1"/>
  <c r="H5" i="54"/>
  <c r="L6" i="54"/>
  <c r="P5" i="54"/>
  <c r="M5" i="54"/>
  <c r="M6" i="54" s="1"/>
  <c r="O6" i="54"/>
  <c r="J5" i="54"/>
  <c r="J6" i="54" s="1"/>
  <c r="P6" i="54" l="1"/>
  <c r="Q5" i="54"/>
  <c r="Q6" i="54" s="1"/>
  <c r="H6" i="54"/>
  <c r="K6" i="54"/>
  <c r="AK11" i="46" l="1"/>
  <c r="AJ11" i="46"/>
  <c r="AI11" i="46"/>
  <c r="AH11" i="46"/>
  <c r="Q11" i="46"/>
  <c r="P11" i="46"/>
  <c r="Q18" i="46" s="1"/>
  <c r="AL11" i="46"/>
  <c r="I5" i="53" l="1"/>
  <c r="I6" i="53" s="1"/>
  <c r="D14" i="53" l="1"/>
  <c r="H5" i="53" l="1"/>
  <c r="H6" i="53" s="1"/>
  <c r="AH6" i="52" l="1"/>
  <c r="AI6" i="52"/>
  <c r="D6" i="53"/>
  <c r="D10" i="53" s="1"/>
  <c r="C6" i="53"/>
  <c r="D11" i="53" l="1"/>
  <c r="T37" i="50"/>
  <c r="S6" i="52" l="1"/>
  <c r="S7" i="52" s="1"/>
  <c r="Q6" i="52"/>
  <c r="P6" i="52"/>
  <c r="P7" i="52" s="1"/>
  <c r="O6" i="52"/>
  <c r="AL7" i="52"/>
  <c r="AK10" i="52" s="1"/>
  <c r="AK7" i="52"/>
  <c r="E7" i="43" s="1"/>
  <c r="AJ7" i="52"/>
  <c r="E6" i="43" s="1"/>
  <c r="AI7" i="52"/>
  <c r="AH7" i="52"/>
  <c r="AK9" i="52" s="1"/>
  <c r="W6" i="52"/>
  <c r="W7" i="52" s="1"/>
  <c r="K6" i="52"/>
  <c r="I6" i="52"/>
  <c r="F32" i="51"/>
  <c r="H28" i="51"/>
  <c r="H29" i="51"/>
  <c r="G31" i="51"/>
  <c r="H31" i="51" s="1"/>
  <c r="G30" i="51"/>
  <c r="H30" i="51" s="1"/>
  <c r="G29" i="51"/>
  <c r="G28" i="51"/>
  <c r="H6" i="51"/>
  <c r="H18" i="51"/>
  <c r="H17" i="51"/>
  <c r="H27" i="51"/>
  <c r="H26" i="51"/>
  <c r="H25" i="51"/>
  <c r="H24" i="51"/>
  <c r="H23" i="51"/>
  <c r="H22" i="51"/>
  <c r="H16" i="51"/>
  <c r="H15" i="51"/>
  <c r="H14" i="51"/>
  <c r="H13" i="51"/>
  <c r="H12" i="51"/>
  <c r="G9" i="51"/>
  <c r="H8" i="51"/>
  <c r="H7" i="51"/>
  <c r="H5" i="51"/>
  <c r="P23" i="50"/>
  <c r="S23" i="50" s="1"/>
  <c r="T23" i="50" s="1"/>
  <c r="O23" i="50"/>
  <c r="Q23" i="50" s="1"/>
  <c r="K23" i="50"/>
  <c r="R23" i="50" s="1"/>
  <c r="P21" i="50"/>
  <c r="S21" i="50" s="1"/>
  <c r="T21" i="50" s="1"/>
  <c r="O21" i="50"/>
  <c r="Q21" i="50" s="1"/>
  <c r="K21" i="50"/>
  <c r="R21" i="50" s="1"/>
  <c r="P19" i="50"/>
  <c r="S19" i="50" s="1"/>
  <c r="T19" i="50" s="1"/>
  <c r="O19" i="50"/>
  <c r="Q19" i="50" s="1"/>
  <c r="K19" i="50"/>
  <c r="R19" i="50" s="1"/>
  <c r="P17" i="50"/>
  <c r="S17" i="50" s="1"/>
  <c r="T17" i="50" s="1"/>
  <c r="O17" i="50"/>
  <c r="Q17" i="50" s="1"/>
  <c r="K17" i="50"/>
  <c r="R17" i="50" s="1"/>
  <c r="P15" i="50"/>
  <c r="S15" i="50" s="1"/>
  <c r="T15" i="50" s="1"/>
  <c r="O15" i="50"/>
  <c r="K15" i="50"/>
  <c r="R15" i="50" s="1"/>
  <c r="J15" i="50"/>
  <c r="P13" i="50"/>
  <c r="S13" i="50" s="1"/>
  <c r="T13" i="50" s="1"/>
  <c r="O13" i="50"/>
  <c r="K13" i="50"/>
  <c r="R13" i="50" s="1"/>
  <c r="J13" i="50"/>
  <c r="P11" i="50"/>
  <c r="S11" i="50" s="1"/>
  <c r="T11" i="50" s="1"/>
  <c r="O11" i="50"/>
  <c r="Q11" i="50" s="1"/>
  <c r="K11" i="50"/>
  <c r="R11" i="50" s="1"/>
  <c r="P9" i="50"/>
  <c r="S9" i="50" s="1"/>
  <c r="T9" i="50" s="1"/>
  <c r="O9" i="50"/>
  <c r="Q9" i="50" s="1"/>
  <c r="K9" i="50"/>
  <c r="R9" i="50" s="1"/>
  <c r="P7" i="50"/>
  <c r="S7" i="50" s="1"/>
  <c r="T7" i="50" s="1"/>
  <c r="O7" i="50"/>
  <c r="K7" i="50"/>
  <c r="R7" i="50" s="1"/>
  <c r="J7" i="50"/>
  <c r="P5" i="50"/>
  <c r="S5" i="50" s="1"/>
  <c r="T5" i="50" s="1"/>
  <c r="O5" i="50"/>
  <c r="K5" i="50"/>
  <c r="R5" i="50" s="1"/>
  <c r="J5" i="50"/>
  <c r="O33" i="50" l="1"/>
  <c r="Q7" i="50"/>
  <c r="Q13" i="50"/>
  <c r="U13" i="50" s="1"/>
  <c r="Q13" i="52"/>
  <c r="Q11" i="52"/>
  <c r="Q10" i="52"/>
  <c r="Q9" i="52"/>
  <c r="J12" i="51"/>
  <c r="Q7" i="52"/>
  <c r="Q15" i="52" s="1"/>
  <c r="R6" i="52"/>
  <c r="R7" i="52" s="1"/>
  <c r="U9" i="50"/>
  <c r="Q15" i="50"/>
  <c r="U15" i="50" s="1"/>
  <c r="U21" i="50"/>
  <c r="U23" i="50"/>
  <c r="O7" i="52"/>
  <c r="AA6" i="52"/>
  <c r="AA7" i="52" s="1"/>
  <c r="M6" i="52"/>
  <c r="M7" i="52" s="1"/>
  <c r="V12" i="52"/>
  <c r="V9" i="52"/>
  <c r="V10" i="52"/>
  <c r="I7" i="52"/>
  <c r="H19" i="51"/>
  <c r="U7" i="50"/>
  <c r="U17" i="50"/>
  <c r="U11" i="50"/>
  <c r="U19" i="50"/>
  <c r="Q5" i="50"/>
  <c r="U5" i="50" s="1"/>
  <c r="J13" i="51" l="1"/>
  <c r="E5" i="53"/>
  <c r="G5" i="53" s="1"/>
  <c r="Q14" i="52"/>
  <c r="I37" i="50"/>
  <c r="AE6" i="52"/>
  <c r="AF6" i="52" s="1"/>
  <c r="AG6" i="52" s="1"/>
  <c r="AB6" i="52"/>
  <c r="AC6" i="52" s="1"/>
  <c r="AC7" i="52" s="1"/>
  <c r="AB7" i="52"/>
  <c r="AA9" i="52"/>
  <c r="AA12" i="52"/>
  <c r="T36" i="50"/>
  <c r="T38" i="50" s="1"/>
  <c r="O35" i="50"/>
  <c r="I33" i="50"/>
  <c r="I34" i="50" s="1"/>
  <c r="T33" i="50" l="1"/>
  <c r="T35" i="50" s="1"/>
  <c r="T39" i="50" s="1"/>
  <c r="E6" i="53"/>
  <c r="G6" i="53"/>
  <c r="D8" i="53" s="1"/>
  <c r="AE7" i="52"/>
  <c r="AE9" i="52"/>
  <c r="AG7" i="52"/>
  <c r="AF7" i="52"/>
  <c r="AE12" i="52" l="1"/>
  <c r="L9" i="46" l="1"/>
  <c r="L8" i="46"/>
  <c r="G9" i="48"/>
  <c r="F23" i="48"/>
  <c r="H22" i="48"/>
  <c r="H26" i="48"/>
  <c r="H21" i="48"/>
  <c r="H20" i="48"/>
  <c r="H15" i="48"/>
  <c r="H13" i="48"/>
  <c r="H12" i="48"/>
  <c r="H7" i="48"/>
  <c r="H6" i="48"/>
  <c r="H8" i="48"/>
  <c r="H5" i="48"/>
  <c r="H23" i="48" l="1"/>
  <c r="H17" i="48"/>
  <c r="J12" i="48"/>
  <c r="L6" i="46"/>
  <c r="L7" i="46"/>
  <c r="X9" i="46"/>
  <c r="N9" i="46"/>
  <c r="I9" i="46"/>
  <c r="X8" i="46"/>
  <c r="N8" i="46"/>
  <c r="I8" i="46"/>
  <c r="X7" i="46"/>
  <c r="N7" i="46"/>
  <c r="I7" i="46"/>
  <c r="S7" i="46" s="1"/>
  <c r="X6" i="46"/>
  <c r="N6" i="46"/>
  <c r="I6" i="46"/>
  <c r="X10" i="46"/>
  <c r="N10" i="46"/>
  <c r="I10" i="46"/>
  <c r="V9" i="46" l="1"/>
  <c r="W9" i="46" s="1"/>
  <c r="V10" i="46"/>
  <c r="W10" i="46" s="1"/>
  <c r="V7" i="46"/>
  <c r="W7" i="46" s="1"/>
  <c r="V8" i="46"/>
  <c r="W8" i="46" s="1"/>
  <c r="V6" i="46"/>
  <c r="W6" i="46" s="1"/>
  <c r="J13" i="48"/>
  <c r="S8" i="46"/>
  <c r="S9" i="46"/>
  <c r="S6" i="46"/>
  <c r="S10" i="46"/>
  <c r="O8" i="46"/>
  <c r="O7" i="46"/>
  <c r="O9" i="46"/>
  <c r="M9" i="46"/>
  <c r="AB9" i="46" s="1"/>
  <c r="AC9" i="46" s="1"/>
  <c r="Z9" i="46"/>
  <c r="AA9" i="46" s="1"/>
  <c r="Z7" i="46"/>
  <c r="AA7" i="46" s="1"/>
  <c r="M7" i="46"/>
  <c r="AB7" i="46" s="1"/>
  <c r="AC7" i="46" s="1"/>
  <c r="O6" i="46"/>
  <c r="M6" i="46"/>
  <c r="AB6" i="46" s="1"/>
  <c r="AC6" i="46" s="1"/>
  <c r="Z6" i="46"/>
  <c r="AA6" i="46" s="1"/>
  <c r="M8" i="46"/>
  <c r="Z8" i="46"/>
  <c r="AA8" i="46" s="1"/>
  <c r="Z10" i="46"/>
  <c r="AA10" i="46" s="1"/>
  <c r="M10" i="46"/>
  <c r="AE10" i="46" s="1"/>
  <c r="AF10" i="46" s="1"/>
  <c r="AG10" i="46" s="1"/>
  <c r="O10" i="46"/>
  <c r="E8" i="9"/>
  <c r="AE9" i="46" l="1"/>
  <c r="AF9" i="46" s="1"/>
  <c r="AG9" i="46" s="1"/>
  <c r="AE7" i="46"/>
  <c r="AF7" i="46" s="1"/>
  <c r="AG7" i="46" s="1"/>
  <c r="AE6" i="46"/>
  <c r="AF6" i="46" s="1"/>
  <c r="AG6" i="46" s="1"/>
  <c r="AE8" i="46"/>
  <c r="AF8" i="46" s="1"/>
  <c r="AG8" i="46" s="1"/>
  <c r="AB8" i="46"/>
  <c r="AC8" i="46" s="1"/>
  <c r="AB10" i="46"/>
  <c r="AC10" i="46" s="1"/>
  <c r="E11" i="9" l="1"/>
  <c r="F14" i="9" s="1"/>
  <c r="AK15" i="46" l="1"/>
  <c r="AK14" i="46"/>
  <c r="Q21" i="46"/>
  <c r="W11" i="46" l="1"/>
  <c r="I11" i="46"/>
  <c r="D6" i="10"/>
  <c r="S11" i="46" l="1"/>
  <c r="AA11" i="46"/>
  <c r="M11" i="46"/>
  <c r="O11" i="46"/>
  <c r="V17" i="46"/>
  <c r="V15" i="46"/>
  <c r="V14" i="46"/>
  <c r="Q14" i="46" l="1"/>
  <c r="Q17" i="46"/>
  <c r="Q15" i="46"/>
  <c r="AE11" i="46"/>
  <c r="AC11" i="46"/>
  <c r="AE14" i="46" s="1"/>
  <c r="AB11" i="46"/>
  <c r="AA14" i="46"/>
  <c r="AA17" i="46"/>
  <c r="AF11" i="46"/>
  <c r="AG11" i="46" l="1"/>
  <c r="AE18" i="46" s="1"/>
  <c r="AE17" i="46" l="1"/>
  <c r="D5" i="10" l="1"/>
  <c r="K7" i="43" l="1"/>
  <c r="L7" i="43"/>
  <c r="J7" i="43" l="1"/>
  <c r="K6" i="43" l="1"/>
  <c r="L6" i="43"/>
  <c r="L8" i="43" s="1"/>
  <c r="J6" i="43"/>
  <c r="J8" i="43" s="1"/>
  <c r="K8" i="43"/>
  <c r="J10" i="43" l="1"/>
  <c r="F13" i="9" l="1"/>
  <c r="V16" i="46" l="1"/>
  <c r="V11" i="52"/>
  <c r="F7" i="9" l="1"/>
  <c r="F8" i="9"/>
  <c r="F9" i="9"/>
  <c r="F10" i="9"/>
  <c r="F11" i="9"/>
  <c r="F12" i="9"/>
  <c r="F6" i="9"/>
  <c r="Q16" i="46" l="1"/>
  <c r="D9" i="53"/>
  <c r="C11" i="54"/>
  <c r="R5" i="54" s="1"/>
  <c r="R6" i="54" s="1"/>
  <c r="AE13" i="52"/>
  <c r="C9" i="54"/>
  <c r="U5" i="54" s="1"/>
  <c r="U6" i="54" s="1"/>
  <c r="C8" i="54"/>
  <c r="F5" i="54" s="1"/>
  <c r="F6" i="54" s="1"/>
  <c r="C10" i="54"/>
  <c r="N5" i="54" s="1"/>
  <c r="N6" i="54" s="1"/>
  <c r="I35" i="50"/>
  <c r="I36" i="50" s="1"/>
  <c r="Q12" i="52"/>
  <c r="D15" i="53"/>
  <c r="AE10" i="52"/>
  <c r="AE15" i="46"/>
  <c r="O37" i="50"/>
  <c r="O36" i="50" s="1"/>
  <c r="D12" i="53"/>
  <c r="AK11" i="52"/>
  <c r="AA10" i="52"/>
  <c r="AK16" i="46"/>
  <c r="AA15" i="46"/>
  <c r="J12" i="43"/>
  <c r="J13" i="43" s="1"/>
  <c r="F14" i="10" l="1"/>
  <c r="G14" i="10" s="1"/>
  <c r="F13" i="10"/>
  <c r="G13" i="10" s="1"/>
  <c r="F12" i="10"/>
  <c r="G12" i="10" s="1"/>
  <c r="F9" i="10" l="1"/>
  <c r="G9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Juliana Honorato</author>
    <author>Jean Dorneles</author>
  </authors>
  <commentList>
    <comment ref="DB11" authorId="0" shapeId="0" xr:uid="{00000000-0006-0000-0700-000001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100947
100948</t>
        </r>
      </text>
    </comment>
    <comment ref="DC11" authorId="0" shapeId="0" xr:uid="{00000000-0006-0000-0700-000002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7781
ASSENT ALTO: 92821
ASSENT BAIXO: 92809</t>
        </r>
      </text>
    </comment>
    <comment ref="DD11" authorId="0" shapeId="0" xr:uid="{00000000-0006-0000-0700-000003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7725
ASSENT ALTO: 92824
ASSENT BAIXO: 92811</t>
        </r>
      </text>
    </comment>
    <comment ref="DE11" authorId="0" shapeId="0" xr:uid="{00000000-0006-0000-0700-000004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7750
ASSENT ALTO: 92826
ASSENT BAIXO: 92813</t>
        </r>
      </text>
    </comment>
    <comment ref="DF11" authorId="0" shapeId="0" xr:uid="{00000000-0006-0000-0700-000005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7753
ASSENT ALTO: 92828
ASSENT BAIXO: 92815</t>
        </r>
      </text>
    </comment>
    <comment ref="DG11" authorId="0" shapeId="0" xr:uid="{00000000-0006-0000-0700-000006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7757
ASSENT ALTO: 92830
ASSENT BAIXO: 92817</t>
        </r>
      </text>
    </comment>
    <comment ref="BL12" authorId="1" shapeId="0" xr:uid="{00000000-0006-0000-0700-000007000000}">
      <text>
        <r>
          <rPr>
            <b/>
            <sz val="9"/>
            <color indexed="81"/>
            <rFont val="Segoe UI"/>
            <family val="2"/>
          </rPr>
          <t>Jean Dorneles:
BAIXA INTERF. 
102281
ALTA INTERF.
90099</t>
        </r>
      </text>
    </comment>
    <comment ref="BM12" authorId="1" shapeId="0" xr:uid="{00000000-0006-0000-0700-000008000000}">
      <text>
        <r>
          <rPr>
            <b/>
            <sz val="9"/>
            <color indexed="81"/>
            <rFont val="Segoe UI"/>
            <family val="2"/>
          </rPr>
          <t>Jean Dorneles:
BAIXA INTERF. 
90106
ALTA INTERF.
90100</t>
        </r>
      </text>
    </comment>
    <comment ref="BN12" authorId="1" shapeId="0" xr:uid="{00000000-0006-0000-0700-000009000000}">
      <text>
        <r>
          <rPr>
            <b/>
            <sz val="9"/>
            <color indexed="81"/>
            <rFont val="Segoe UI"/>
            <family val="2"/>
          </rPr>
          <t>Jean Dorneles:
BAIXA INTERF. 
90091
ALTA INTERF.
90082</t>
        </r>
      </text>
    </comment>
    <comment ref="BO12" authorId="1" shapeId="0" xr:uid="{00000000-0006-0000-0700-00000A000000}">
      <text>
        <r>
          <rPr>
            <b/>
            <sz val="9"/>
            <color indexed="81"/>
            <rFont val="Segoe UI"/>
            <family val="2"/>
          </rPr>
          <t>Jean Dorneles:
BAIXA INTERF. 
90107
ALTA INTERF.
90101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P12" authorId="1" shapeId="0" xr:uid="{00000000-0006-0000-0700-00000B000000}">
      <text>
        <r>
          <rPr>
            <b/>
            <sz val="9"/>
            <color indexed="81"/>
            <rFont val="Segoe UI"/>
            <family val="2"/>
          </rPr>
          <t>Jean Dorneles:
BAIXA INTERF. 
90108
ALTA INTERF.
90102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Q12" authorId="0" shapeId="0" xr:uid="{00000000-0006-0000-0700-00000C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BAIXA INTERF.
102281</t>
        </r>
      </text>
    </comment>
    <comment ref="BR12" authorId="1" shapeId="0" xr:uid="{00000000-0006-0000-0700-00000D000000}">
      <text>
        <r>
          <rPr>
            <b/>
            <sz val="9"/>
            <color indexed="81"/>
            <rFont val="Segoe UI"/>
            <family val="2"/>
          </rPr>
          <t>Jean Dorneles:
BAIXA INTERF. 
90094
ALTA INTERF.
90086</t>
        </r>
      </text>
    </comment>
    <comment ref="BS12" authorId="1" shapeId="0" xr:uid="{00000000-0006-0000-0700-00000E000000}">
      <text>
        <r>
          <rPr>
            <b/>
            <sz val="9"/>
            <color indexed="81"/>
            <rFont val="Segoe UI"/>
            <family val="2"/>
          </rPr>
          <t>Jean Dorneles:
BAIXA INTERF. 
90094
ALTA INTERF.
90086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T12" authorId="0" shapeId="0" xr:uid="{00000000-0006-0000-0700-00000F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BAIXA INTERF.
90095</t>
        </r>
      </text>
    </comment>
    <comment ref="BU12" authorId="1" shapeId="0" xr:uid="{00000000-0006-0000-0700-000010000000}">
      <text>
        <r>
          <rPr>
            <b/>
            <sz val="9"/>
            <color indexed="81"/>
            <rFont val="Segoe UI"/>
            <family val="2"/>
          </rPr>
          <t>Jean Dorneles:
BAIXA INTERF. 
90096
ALTA INTERF.
90088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V12" authorId="1" shapeId="0" xr:uid="{00000000-0006-0000-0700-000011000000}">
      <text>
        <r>
          <rPr>
            <b/>
            <sz val="9"/>
            <color indexed="81"/>
            <rFont val="Segoe UI"/>
            <family val="2"/>
          </rPr>
          <t xml:space="preserve">Jean Dorneles:
BAIXA INTERF. 
90096
ALTA INTERF.
90088
</t>
        </r>
      </text>
    </comment>
    <comment ref="BW12" authorId="1" shapeId="0" xr:uid="{00000000-0006-0000-0700-000012000000}">
      <text>
        <r>
          <rPr>
            <b/>
            <sz val="9"/>
            <color indexed="81"/>
            <rFont val="Segoe UI"/>
            <family val="2"/>
          </rPr>
          <t xml:space="preserve">Jean Dorneles:
BAIXA INTERF. 
90098
ALTA INTERF.
90090
</t>
        </r>
      </text>
    </comment>
    <comment ref="CB12" authorId="0" shapeId="0" xr:uid="{00000000-0006-0000-0700-000013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CARGA: 100980</t>
        </r>
      </text>
    </comment>
    <comment ref="CC12" authorId="1" shapeId="0" xr:uid="{00000000-0006-0000-0700-000014000000}">
      <text>
        <r>
          <rPr>
            <b/>
            <sz val="9"/>
            <color indexed="81"/>
            <rFont val="Segoe UI"/>
            <family val="2"/>
          </rPr>
          <t>Jean Dorneles:
BAIXA INTERF. 
94055
ALTA INTERF.
94049</t>
        </r>
      </text>
    </comment>
    <comment ref="CD12" authorId="1" shapeId="0" xr:uid="{00000000-0006-0000-0700-000015000000}">
      <text>
        <r>
          <rPr>
            <b/>
            <sz val="9"/>
            <color indexed="81"/>
            <rFont val="Segoe UI"/>
            <family val="2"/>
          </rPr>
          <t>Jean Dorneles:
BAIXA INTERF. 
94056
ALTA INTERF.</t>
        </r>
        <r>
          <rPr>
            <sz val="9"/>
            <color indexed="81"/>
            <rFont val="Segoe UI"/>
            <family val="2"/>
          </rPr>
          <t xml:space="preserve">
94050</t>
        </r>
      </text>
    </comment>
    <comment ref="CE12" authorId="1" shapeId="0" xr:uid="{00000000-0006-0000-0700-000016000000}">
      <text>
        <r>
          <rPr>
            <b/>
            <sz val="9"/>
            <color indexed="81"/>
            <rFont val="Segoe UI"/>
            <family val="2"/>
          </rPr>
          <t>Jean Dorneles:
BAIXA INTERF. 
94057
ALTA INTERF.</t>
        </r>
        <r>
          <rPr>
            <sz val="9"/>
            <color indexed="81"/>
            <rFont val="Segoe UI"/>
            <family val="2"/>
          </rPr>
          <t xml:space="preserve">
94051</t>
        </r>
      </text>
    </comment>
    <comment ref="CF12" authorId="0" shapeId="0" xr:uid="{00000000-0006-0000-0700-000017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101573</t>
        </r>
      </text>
    </comment>
    <comment ref="CG12" authorId="1" shapeId="0" xr:uid="{00000000-0006-0000-0700-000018000000}">
      <text>
        <r>
          <rPr>
            <b/>
            <sz val="9"/>
            <color indexed="81"/>
            <rFont val="Segoe UI"/>
            <family val="2"/>
          </rPr>
          <t>Jean Dorneles:
BAIXA INTERF. 
94059
ALTA INTERF.
94053</t>
        </r>
      </text>
    </comment>
    <comment ref="CH12" authorId="1" shapeId="0" xr:uid="{00000000-0006-0000-0700-000019000000}">
      <text>
        <r>
          <rPr>
            <b/>
            <sz val="9"/>
            <color indexed="81"/>
            <rFont val="Segoe UI"/>
            <family val="2"/>
          </rPr>
          <t>Jean Dorneles:
BAIXA INTERF. 
101575</t>
        </r>
      </text>
    </comment>
    <comment ref="CI12" authorId="0" shapeId="0" xr:uid="{00000000-0006-0000-0700-00001A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101616</t>
        </r>
      </text>
    </comment>
    <comment ref="CJ12" authorId="0" shapeId="0" xr:uid="{00000000-0006-0000-0700-00001B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101617</t>
        </r>
      </text>
    </comment>
    <comment ref="CM12" authorId="0" shapeId="0" xr:uid="{00000000-0006-0000-0700-00001C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101624</t>
        </r>
      </text>
    </comment>
    <comment ref="CQ12" authorId="1" shapeId="0" xr:uid="{00000000-0006-0000-0700-00001D000000}">
      <text>
        <r>
          <rPr>
            <b/>
            <sz val="9"/>
            <color indexed="81"/>
            <rFont val="Segoe UI"/>
            <family val="2"/>
          </rPr>
          <t>Jean Dorneles:
BAIXA INTERF. 
93379
ALTA INTERF.
93375</t>
        </r>
      </text>
    </comment>
    <comment ref="CU12" authorId="1" shapeId="0" xr:uid="{00000000-0006-0000-0700-00001E000000}">
      <text>
        <r>
          <rPr>
            <b/>
            <sz val="9"/>
            <color indexed="81"/>
            <rFont val="Segoe UI"/>
            <family val="2"/>
          </rPr>
          <t>Jean Dorneles:
BAIXA INTERF. 
93369
ALTA INTERF.
93362</t>
        </r>
      </text>
    </comment>
    <comment ref="CX12" authorId="0" shapeId="0" xr:uid="{00000000-0006-0000-0700-00001F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BAIXA INTERF: 93371
ALTA INTERF: 93364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Juliana Honorato</author>
  </authors>
  <commentList>
    <comment ref="O4" authorId="0" shapeId="0" xr:uid="{00000000-0006-0000-0A00-000001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CONFERIR ÁREA COM A RAMPA DO PROJETO</t>
        </r>
      </text>
    </comment>
    <comment ref="P4" authorId="0" shapeId="0" xr:uid="{00000000-0006-0000-0A00-000002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CONFERIR COMPRIMENTO COM A RAMPA DO PROJETO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Juliana Honorato</author>
    <author>Jean Dorneles</author>
  </authors>
  <commentList>
    <comment ref="DB11" authorId="0" shapeId="0" xr:uid="{00000000-0006-0000-0C00-000001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100947
100948</t>
        </r>
      </text>
    </comment>
    <comment ref="DC11" authorId="0" shapeId="0" xr:uid="{00000000-0006-0000-0C00-000002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7781
ASSENT ALTO: 92821
ASSENT BAIXO: 92809</t>
        </r>
      </text>
    </comment>
    <comment ref="DD11" authorId="0" shapeId="0" xr:uid="{00000000-0006-0000-0C00-000003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7725
ASSENT ALTO: 92824
ASSENT BAIXO: 92811</t>
        </r>
      </text>
    </comment>
    <comment ref="DE11" authorId="0" shapeId="0" xr:uid="{00000000-0006-0000-0C00-000004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7750
ASSENT ALTO: 92826
ASSENT BAIXO: 92813</t>
        </r>
      </text>
    </comment>
    <comment ref="DF11" authorId="0" shapeId="0" xr:uid="{00000000-0006-0000-0C00-000005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7753
ASSENT ALTO: 92828
ASSENT BAIXO: 92815</t>
        </r>
      </text>
    </comment>
    <comment ref="DG11" authorId="0" shapeId="0" xr:uid="{00000000-0006-0000-0C00-000006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INSUMO: 7757
ASSENT ALTO: 92830
ASSENT BAIXO: 92817</t>
        </r>
      </text>
    </comment>
    <comment ref="BL12" authorId="1" shapeId="0" xr:uid="{00000000-0006-0000-0C00-000007000000}">
      <text>
        <r>
          <rPr>
            <b/>
            <sz val="9"/>
            <color indexed="81"/>
            <rFont val="Segoe UI"/>
            <family val="2"/>
          </rPr>
          <t>Jean Dorneles:
BAIXA INTERF. 
102281
ALTA INTERF.
90099</t>
        </r>
      </text>
    </comment>
    <comment ref="BM12" authorId="1" shapeId="0" xr:uid="{00000000-0006-0000-0C00-000008000000}">
      <text>
        <r>
          <rPr>
            <b/>
            <sz val="9"/>
            <color indexed="81"/>
            <rFont val="Segoe UI"/>
            <family val="2"/>
          </rPr>
          <t>Jean Dorneles:
BAIXA INTERF. 
90106
ALTA INTERF.
90100</t>
        </r>
      </text>
    </comment>
    <comment ref="BN12" authorId="1" shapeId="0" xr:uid="{00000000-0006-0000-0C00-000009000000}">
      <text>
        <r>
          <rPr>
            <b/>
            <sz val="9"/>
            <color indexed="81"/>
            <rFont val="Segoe UI"/>
            <family val="2"/>
          </rPr>
          <t>Jean Dorneles:
BAIXA INTERF. 
90091
ALTA INTERF.
90082</t>
        </r>
      </text>
    </comment>
    <comment ref="BO12" authorId="1" shapeId="0" xr:uid="{00000000-0006-0000-0C00-00000A000000}">
      <text>
        <r>
          <rPr>
            <b/>
            <sz val="9"/>
            <color indexed="81"/>
            <rFont val="Segoe UI"/>
            <family val="2"/>
          </rPr>
          <t>Jean Dorneles:
BAIXA INTERF. 
90107
ALTA INTERF.
90101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P12" authorId="1" shapeId="0" xr:uid="{00000000-0006-0000-0C00-00000B000000}">
      <text>
        <r>
          <rPr>
            <b/>
            <sz val="9"/>
            <color indexed="81"/>
            <rFont val="Segoe UI"/>
            <family val="2"/>
          </rPr>
          <t>Jean Dorneles:
BAIXA INTERF. 
90108
ALTA INTERF.
90102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Q12" authorId="0" shapeId="0" xr:uid="{00000000-0006-0000-0C00-00000C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BAIXA INTERF.
102281</t>
        </r>
      </text>
    </comment>
    <comment ref="BR12" authorId="1" shapeId="0" xr:uid="{00000000-0006-0000-0C00-00000D000000}">
      <text>
        <r>
          <rPr>
            <b/>
            <sz val="9"/>
            <color indexed="81"/>
            <rFont val="Segoe UI"/>
            <family val="2"/>
          </rPr>
          <t>Jean Dorneles:
BAIXA INTERF. 
90094
ALTA INTERF.
90086</t>
        </r>
      </text>
    </comment>
    <comment ref="BS12" authorId="1" shapeId="0" xr:uid="{00000000-0006-0000-0C00-00000E000000}">
      <text>
        <r>
          <rPr>
            <b/>
            <sz val="9"/>
            <color indexed="81"/>
            <rFont val="Segoe UI"/>
            <family val="2"/>
          </rPr>
          <t>Jean Dorneles:
BAIXA INTERF. 
90094
ALTA INTERF.
90086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T12" authorId="0" shapeId="0" xr:uid="{00000000-0006-0000-0C00-00000F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BAIXA INTERF.
90095</t>
        </r>
      </text>
    </comment>
    <comment ref="BU12" authorId="1" shapeId="0" xr:uid="{00000000-0006-0000-0C00-000010000000}">
      <text>
        <r>
          <rPr>
            <b/>
            <sz val="9"/>
            <color indexed="81"/>
            <rFont val="Segoe UI"/>
            <family val="2"/>
          </rPr>
          <t>Jean Dorneles:
BAIXA INTERF. 
90096
ALTA INTERF.
90088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V12" authorId="1" shapeId="0" xr:uid="{00000000-0006-0000-0C00-000011000000}">
      <text>
        <r>
          <rPr>
            <b/>
            <sz val="9"/>
            <color indexed="81"/>
            <rFont val="Segoe UI"/>
            <family val="2"/>
          </rPr>
          <t xml:space="preserve">Jean Dorneles:
BAIXA INTERF. 
90096
ALTA INTERF.
90088
</t>
        </r>
      </text>
    </comment>
    <comment ref="BW12" authorId="1" shapeId="0" xr:uid="{00000000-0006-0000-0C00-000012000000}">
      <text>
        <r>
          <rPr>
            <b/>
            <sz val="9"/>
            <color indexed="81"/>
            <rFont val="Segoe UI"/>
            <family val="2"/>
          </rPr>
          <t xml:space="preserve">Jean Dorneles:
BAIXA INTERF. 
90098
ALTA INTERF.
90090
</t>
        </r>
      </text>
    </comment>
    <comment ref="CB12" authorId="0" shapeId="0" xr:uid="{00000000-0006-0000-0C00-000013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CARGA: 100980</t>
        </r>
      </text>
    </comment>
    <comment ref="CC12" authorId="1" shapeId="0" xr:uid="{00000000-0006-0000-0C00-000014000000}">
      <text>
        <r>
          <rPr>
            <b/>
            <sz val="9"/>
            <color indexed="81"/>
            <rFont val="Segoe UI"/>
            <family val="2"/>
          </rPr>
          <t>Jean Dorneles:
BAIXA INTERF. 
94055
ALTA INTERF.
94049</t>
        </r>
      </text>
    </comment>
    <comment ref="CD12" authorId="1" shapeId="0" xr:uid="{00000000-0006-0000-0C00-000015000000}">
      <text>
        <r>
          <rPr>
            <b/>
            <sz val="9"/>
            <color indexed="81"/>
            <rFont val="Segoe UI"/>
            <family val="2"/>
          </rPr>
          <t>Jean Dorneles:
BAIXA INTERF. 
94056
ALTA INTERF.</t>
        </r>
        <r>
          <rPr>
            <sz val="9"/>
            <color indexed="81"/>
            <rFont val="Segoe UI"/>
            <family val="2"/>
          </rPr>
          <t xml:space="preserve">
94050</t>
        </r>
      </text>
    </comment>
    <comment ref="CE12" authorId="1" shapeId="0" xr:uid="{00000000-0006-0000-0C00-000016000000}">
      <text>
        <r>
          <rPr>
            <b/>
            <sz val="9"/>
            <color indexed="81"/>
            <rFont val="Segoe UI"/>
            <family val="2"/>
          </rPr>
          <t>Jean Dorneles:
BAIXA INTERF. 
94057
ALTA INTERF.</t>
        </r>
        <r>
          <rPr>
            <sz val="9"/>
            <color indexed="81"/>
            <rFont val="Segoe UI"/>
            <family val="2"/>
          </rPr>
          <t xml:space="preserve">
94051</t>
        </r>
      </text>
    </comment>
    <comment ref="CF12" authorId="0" shapeId="0" xr:uid="{00000000-0006-0000-0C00-000017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101573</t>
        </r>
      </text>
    </comment>
    <comment ref="CG12" authorId="1" shapeId="0" xr:uid="{00000000-0006-0000-0C00-000018000000}">
      <text>
        <r>
          <rPr>
            <b/>
            <sz val="9"/>
            <color indexed="81"/>
            <rFont val="Segoe UI"/>
            <family val="2"/>
          </rPr>
          <t>Jean Dorneles:
BAIXA INTERF. 
94059
ALTA INTERF.
94053</t>
        </r>
      </text>
    </comment>
    <comment ref="CH12" authorId="1" shapeId="0" xr:uid="{00000000-0006-0000-0C00-000019000000}">
      <text>
        <r>
          <rPr>
            <b/>
            <sz val="9"/>
            <color indexed="81"/>
            <rFont val="Segoe UI"/>
            <family val="2"/>
          </rPr>
          <t>Jean Dorneles:
BAIXA INTERF. 
101575</t>
        </r>
      </text>
    </comment>
    <comment ref="CI12" authorId="0" shapeId="0" xr:uid="{00000000-0006-0000-0C00-00001A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101616</t>
        </r>
      </text>
    </comment>
    <comment ref="CJ12" authorId="0" shapeId="0" xr:uid="{00000000-0006-0000-0C00-00001B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101617</t>
        </r>
      </text>
    </comment>
    <comment ref="CM12" authorId="0" shapeId="0" xr:uid="{00000000-0006-0000-0C00-00001C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101624</t>
        </r>
      </text>
    </comment>
    <comment ref="CQ12" authorId="1" shapeId="0" xr:uid="{00000000-0006-0000-0C00-00001D000000}">
      <text>
        <r>
          <rPr>
            <b/>
            <sz val="9"/>
            <color indexed="81"/>
            <rFont val="Segoe UI"/>
            <family val="2"/>
          </rPr>
          <t>Jean Dorneles:
BAIXA INTERF. 
93379
ALTA INTERF.
93375</t>
        </r>
      </text>
    </comment>
    <comment ref="CU12" authorId="1" shapeId="0" xr:uid="{00000000-0006-0000-0C00-00001E000000}">
      <text>
        <r>
          <rPr>
            <b/>
            <sz val="9"/>
            <color indexed="81"/>
            <rFont val="Segoe UI"/>
            <family val="2"/>
          </rPr>
          <t>Jean Dorneles:
BAIXA INTERF. 
93369
ALTA INTERF.
93362</t>
        </r>
      </text>
    </comment>
    <comment ref="CX12" authorId="0" shapeId="0" xr:uid="{00000000-0006-0000-0C00-00001F000000}">
      <text>
        <r>
          <rPr>
            <b/>
            <sz val="9"/>
            <color indexed="81"/>
            <rFont val="Segoe UI"/>
            <family val="2"/>
          </rPr>
          <t>Juliana Honorato:</t>
        </r>
        <r>
          <rPr>
            <sz val="9"/>
            <color indexed="81"/>
            <rFont val="Segoe UI"/>
            <family val="2"/>
          </rPr>
          <t xml:space="preserve">
BAIXA INTERF: 93371
ALTA INTERF: 93364</t>
        </r>
      </text>
    </comment>
  </commentList>
</comments>
</file>

<file path=xl/sharedStrings.xml><?xml version="1.0" encoding="utf-8"?>
<sst xmlns="http://schemas.openxmlformats.org/spreadsheetml/2006/main" count="5658" uniqueCount="1361">
  <si>
    <t>Total</t>
  </si>
  <si>
    <t>SERVIÇOS PRELIMINARES</t>
  </si>
  <si>
    <t>m²</t>
  </si>
  <si>
    <t>m³</t>
  </si>
  <si>
    <t>m</t>
  </si>
  <si>
    <t>Estacas</t>
  </si>
  <si>
    <t>Regularização</t>
  </si>
  <si>
    <t>Subleito</t>
  </si>
  <si>
    <t>Pavimento Asfáltico</t>
  </si>
  <si>
    <t>Complementares</t>
  </si>
  <si>
    <t>Rua</t>
  </si>
  <si>
    <t>Início</t>
  </si>
  <si>
    <t>Fim</t>
  </si>
  <si>
    <t>Largura</t>
  </si>
  <si>
    <t>Esp. Sub-Base
(m)</t>
  </si>
  <si>
    <t>Área Sub-Base
(m²)</t>
  </si>
  <si>
    <t>Imprimação    (m²)</t>
  </si>
  <si>
    <t>Tento            (m)</t>
  </si>
  <si>
    <t>CBUQ - 2,5548t/m³ (t)</t>
  </si>
  <si>
    <t>+</t>
  </si>
  <si>
    <t>Totais Gerais</t>
  </si>
  <si>
    <t>m³.km</t>
  </si>
  <si>
    <t>BRITA MFC:</t>
  </si>
  <si>
    <t>TRANSP. BOTA FORA:</t>
  </si>
  <si>
    <t>BRITA TENTO:</t>
  </si>
  <si>
    <t xml:space="preserve">QUADRO RESUMO DE DISTÂNCIAS DE TRANSPORTE </t>
  </si>
  <si>
    <t>MATERIAL</t>
  </si>
  <si>
    <t>PERCURSO</t>
  </si>
  <si>
    <t>TRANSPORTE COMERCIAL
(km)</t>
  </si>
  <si>
    <t>DMT TOTAL
(km)</t>
  </si>
  <si>
    <t>ORIGEM</t>
  </si>
  <si>
    <t>DESTINO</t>
  </si>
  <si>
    <t>EMULSÃO ASFÁLTICA 
TIPO RR-2C</t>
  </si>
  <si>
    <t>CAMPO GRANDE</t>
  </si>
  <si>
    <t>BRITA, BICA CORRIDA E RACHÃO OU PEDRA DE MÃO</t>
  </si>
  <si>
    <t>ITAPORÃ</t>
  </si>
  <si>
    <t>DOURADOS</t>
  </si>
  <si>
    <t>PISO TÁTIL</t>
  </si>
  <si>
    <t>DOURADINA</t>
  </si>
  <si>
    <t>Extensão rede de drenagem</t>
  </si>
  <si>
    <t>Extensão pavimentação asfáltica</t>
  </si>
  <si>
    <t>Serviço</t>
  </si>
  <si>
    <t>Critério</t>
  </si>
  <si>
    <t>Barracão de obra</t>
  </si>
  <si>
    <t>Implantação Asfáltica até 3.000m ou Rede drenagem até 3.000m ou Drenagem + Pavimentação até 4.000m</t>
  </si>
  <si>
    <t>Implantação Asfáltica até 6.000m ou Rede drenagem até 6.000m ou Drenagem + Pavimentação até 8.000m</t>
  </si>
  <si>
    <t>Implantação Asfáltica acima 6.000m ou Rede drenagem acima 6.000m ou Drenagem + Pavimentação acima 8.000m</t>
  </si>
  <si>
    <t>Placa de advertência fundo laranja</t>
  </si>
  <si>
    <r>
      <t xml:space="preserve">2 Placas de (2,0 x 1,125) m² a cada 200,00m de rede ou implantação (aproximandamente uma </t>
    </r>
    <r>
      <rPr>
        <i/>
        <sz val="12"/>
        <rFont val="Calibri"/>
        <family val="2"/>
        <scheme val="minor"/>
      </rPr>
      <t>quadra</t>
    </r>
    <r>
      <rPr>
        <sz val="12"/>
        <rFont val="Calibri"/>
        <family val="2"/>
        <scheme val="minor"/>
      </rPr>
      <t xml:space="preserve"> fechada)</t>
    </r>
  </si>
  <si>
    <t>Tela plástica</t>
  </si>
  <si>
    <t>Rede de drenagem + dreno X 1,20m (Considerando que as redes e dreno sejam executados em 2 etapas, no mínimo)</t>
  </si>
  <si>
    <t>Sinalização noturna</t>
  </si>
  <si>
    <t>Rede de drenagem + dreno (Considerando que as redes e dreno sejam executados em 2 etapas, no mínimo)</t>
  </si>
  <si>
    <t>NOME</t>
  </si>
  <si>
    <t>ÁREA TOTAL</t>
  </si>
  <si>
    <t>TOTAL</t>
  </si>
  <si>
    <t>PARADA OBRIGATÓRIA</t>
  </si>
  <si>
    <t>PLACA</t>
  </si>
  <si>
    <t>CÓDIGO</t>
  </si>
  <si>
    <t>DIMENS.</t>
  </si>
  <si>
    <t>QUANT.</t>
  </si>
  <si>
    <t>ÁREA UNITARIA</t>
  </si>
  <si>
    <t>R-1</t>
  </si>
  <si>
    <t>R-19</t>
  </si>
  <si>
    <t>Entre</t>
  </si>
  <si>
    <t>Lado</t>
  </si>
  <si>
    <t>Comp. de Quadras (m)</t>
  </si>
  <si>
    <t>Rampas</t>
  </si>
  <si>
    <t>Área Total (m²)</t>
  </si>
  <si>
    <t>Comp. de Piso Tátil (m)</t>
  </si>
  <si>
    <t>Quant. de Und.</t>
  </si>
  <si>
    <t>LE</t>
  </si>
  <si>
    <t>Resumo Piso Tátil</t>
  </si>
  <si>
    <t>Concreto</t>
  </si>
  <si>
    <t>Área Preparo do Terreno:</t>
  </si>
  <si>
    <t>Total Metros:</t>
  </si>
  <si>
    <t>Área Total a ser Concretada:</t>
  </si>
  <si>
    <t>Peso:</t>
  </si>
  <si>
    <t>kgf/m²</t>
  </si>
  <si>
    <t>Espessura das Calçadas:</t>
  </si>
  <si>
    <t>DMT Bota-Fora:</t>
  </si>
  <si>
    <t>km</t>
  </si>
  <si>
    <t>t.km</t>
  </si>
  <si>
    <t>Área de Grama:</t>
  </si>
  <si>
    <t>Volume Total de Concreto:</t>
  </si>
  <si>
    <t>SINALIZAÇÃO HORIZONTAL</t>
  </si>
  <si>
    <t>COR</t>
  </si>
  <si>
    <t>TIPO</t>
  </si>
  <si>
    <t>ESPESSURA</t>
  </si>
  <si>
    <t>QUANTIDADE</t>
  </si>
  <si>
    <t>AMARELA</t>
  </si>
  <si>
    <t>MECANIZADA</t>
  </si>
  <si>
    <t>QUANTIDADE DA SINALIZAÇÃO HORIZONTAL (PINTURA MANUAL)</t>
  </si>
  <si>
    <t>ÁREA UNITÁRIA</t>
  </si>
  <si>
    <t>BRANCA</t>
  </si>
  <si>
    <t>-</t>
  </si>
  <si>
    <t>LINHA DE RETENÇÃO</t>
  </si>
  <si>
    <t>SENTIDO DE CIRCULAÇÃO DA VIA</t>
  </si>
  <si>
    <t>FAIXA DE PEDESTRE</t>
  </si>
  <si>
    <t>und</t>
  </si>
  <si>
    <t>m³/und</t>
  </si>
  <si>
    <t>BRITA (m³)</t>
  </si>
  <si>
    <t>TOTAL:</t>
  </si>
  <si>
    <t>Cruzamentos e Desvios</t>
  </si>
  <si>
    <t>Área de Concreto (m²)</t>
  </si>
  <si>
    <t>Tipo</t>
  </si>
  <si>
    <t>Volume de Concreto:</t>
  </si>
  <si>
    <t>DMT:</t>
  </si>
  <si>
    <t>Área a ser Concretada SOB Piso Tátil:</t>
  </si>
  <si>
    <t>Espessura das Calçadas SOB Piso Tátil:</t>
  </si>
  <si>
    <t>Volume de Concreto SOB Piso Tátil:</t>
  </si>
  <si>
    <t>Obra</t>
  </si>
  <si>
    <t>Bancos</t>
  </si>
  <si>
    <t>B.D.I.</t>
  </si>
  <si>
    <t>Encargos Sociais</t>
  </si>
  <si>
    <t>Item</t>
  </si>
  <si>
    <t>Código</t>
  </si>
  <si>
    <t>Banco</t>
  </si>
  <si>
    <t>Descrição</t>
  </si>
  <si>
    <t>Und</t>
  </si>
  <si>
    <t>Quant.</t>
  </si>
  <si>
    <t>Valor Unit</t>
  </si>
  <si>
    <t>Valor Unit com BDI</t>
  </si>
  <si>
    <t>Peso (%)</t>
  </si>
  <si>
    <t>Total sem BDI</t>
  </si>
  <si>
    <t>Total do BDI</t>
  </si>
  <si>
    <t>Total Geral</t>
  </si>
  <si>
    <t>Composições Analíticas com Preço Unitário</t>
  </si>
  <si>
    <t>Composições Principais</t>
  </si>
  <si>
    <t>Cronograma Físico e Financeiro</t>
  </si>
  <si>
    <t>Total Por Etapa</t>
  </si>
  <si>
    <t>30 DIAS</t>
  </si>
  <si>
    <t>60 DIAS</t>
  </si>
  <si>
    <t>90 DIAS</t>
  </si>
  <si>
    <t>CIDADE:</t>
  </si>
  <si>
    <t>Tempo de Retorno (anos):</t>
  </si>
  <si>
    <t>Tc = 10,5721 x L⁰’⁵⁵⁵² x S¯⁰’²⁰⁷⁰</t>
  </si>
  <si>
    <t>a=</t>
  </si>
  <si>
    <r>
      <t>t</t>
    </r>
    <r>
      <rPr>
        <vertAlign val="subscript"/>
        <sz val="10"/>
        <rFont val="Calibri"/>
        <family val="2"/>
        <scheme val="minor"/>
      </rPr>
      <t>c</t>
    </r>
    <r>
      <rPr>
        <sz val="10"/>
        <rFont val="Calibri"/>
        <family val="2"/>
        <scheme val="minor"/>
      </rPr>
      <t>=</t>
    </r>
  </si>
  <si>
    <t>VAR</t>
  </si>
  <si>
    <t>b=</t>
  </si>
  <si>
    <t>c=</t>
  </si>
  <si>
    <t>f = a x (I x tc)^1/3</t>
  </si>
  <si>
    <r>
      <t>T</t>
    </r>
    <r>
      <rPr>
        <vertAlign val="subscript"/>
        <sz val="10"/>
        <rFont val="Calibri"/>
        <family val="2"/>
        <scheme val="minor"/>
      </rPr>
      <t>r</t>
    </r>
    <r>
      <rPr>
        <sz val="10"/>
        <rFont val="Calibri"/>
        <family val="2"/>
        <scheme val="minor"/>
      </rPr>
      <t>=</t>
    </r>
  </si>
  <si>
    <t>d=</t>
  </si>
  <si>
    <t>TRECHO</t>
  </si>
  <si>
    <t>FH</t>
  </si>
  <si>
    <t>RH/D</t>
  </si>
  <si>
    <t>y/D</t>
  </si>
  <si>
    <t>RH</t>
  </si>
  <si>
    <t>TRECHOS</t>
  </si>
  <si>
    <t>EXTENSÃO</t>
  </si>
  <si>
    <t>TUBULAÇÃO</t>
  </si>
  <si>
    <t>PROFUNDIDADE DA LINHA D'ÁGUA</t>
  </si>
  <si>
    <r>
      <t xml:space="preserve">ESPESSURA LASTRO - BASE DA GALERIA              </t>
    </r>
    <r>
      <rPr>
        <b/>
        <sz val="8"/>
        <color rgb="FFFF0000"/>
        <rFont val="Calibri"/>
        <family val="2"/>
        <scheme val="minor"/>
      </rPr>
      <t>(se for o caso)</t>
    </r>
  </si>
  <si>
    <r>
      <t xml:space="preserve">INCLINAÇÃO TALUDE - </t>
    </r>
    <r>
      <rPr>
        <b/>
        <sz val="8"/>
        <color rgb="FFFF0000"/>
        <rFont val="Calibri"/>
        <family val="2"/>
        <scheme val="minor"/>
      </rPr>
      <t>1:(V)</t>
    </r>
  </si>
  <si>
    <t>PRESENÇA DE ESCORAMENTO</t>
  </si>
  <si>
    <t>PROFUNDIDADE DA VALA</t>
  </si>
  <si>
    <t>LARGURA DA VALA</t>
  </si>
  <si>
    <t>ESCAVAÇÃO 
MECÂNICA</t>
  </si>
  <si>
    <t>BOTA-FORA</t>
  </si>
  <si>
    <t>ESCORAMENTO
(2 x Prof x Ext)</t>
  </si>
  <si>
    <t>PREPARO DE FUNDO DA VALA</t>
  </si>
  <si>
    <t>LASTRO COM PREPARO DE FUNDO DE VALA (BASE DA GALERIA)
(se for o caso)</t>
  </si>
  <si>
    <t>REATERRO</t>
  </si>
  <si>
    <t>TRANSPORTE DO TUBO</t>
  </si>
  <si>
    <t>TUBOS DN 400MM:</t>
  </si>
  <si>
    <t>TUBOS DN 600MM:</t>
  </si>
  <si>
    <t>TUBOS DN 800MM:</t>
  </si>
  <si>
    <t>TUBOS DN 1000MM:</t>
  </si>
  <si>
    <t>TUBOS DN 1200MM:</t>
  </si>
  <si>
    <t>TUBOS DN 1500MM:</t>
  </si>
  <si>
    <t>SIMPLES</t>
  </si>
  <si>
    <t>ACUMULADA</t>
  </si>
  <si>
    <t>Nº LINHAS</t>
  </si>
  <si>
    <t>DIÂMETRO NOMINAL</t>
  </si>
  <si>
    <t>PS-1 / PA-1 / PA-2 / PVC</t>
  </si>
  <si>
    <t>MONTANTE</t>
  </si>
  <si>
    <t>JUSANTE</t>
  </si>
  <si>
    <t>MÉDIA ENTRE MONTANTE E JUSANTE</t>
  </si>
  <si>
    <t>TOTAL (MÉDIA + BOLSA + LASTRO)</t>
  </si>
  <si>
    <t>INFERIOR (BASE DA VALA)</t>
  </si>
  <si>
    <t>SUPERIOR (TOPO DA VALA)</t>
  </si>
  <si>
    <t>0,00 &lt; PROF ≤ 1,50 (0,00 &lt; LARG  ≤ 0,80)</t>
  </si>
  <si>
    <t>0,00 &lt; PROF ≤ 1,50 (0,80 &lt; LARG ≤ 1,50)</t>
  </si>
  <si>
    <t>0,00 &lt; PROF ≤ 1,50 (1,50 &lt; LARG ≤ 2,50)</t>
  </si>
  <si>
    <t>1,50 &lt; PROF ≤ 3,00 (0,00 &lt; LARG  ≤ 0,80)</t>
  </si>
  <si>
    <t>1,50 &lt; PROF ≤ 3,00 (0,80 &lt; LARG ≤ 1,50)</t>
  </si>
  <si>
    <t>1,50 &lt; PROF ≤ 3,00 (1,50 &lt; LARG ≤ 2,50)</t>
  </si>
  <si>
    <t>3,00 &lt; PROF ≤ 4,50 (0,00 &lt; LARG  ≤ 0,80)</t>
  </si>
  <si>
    <t>3,00 &lt; PROF ≤ 4,50 (0,80 &lt; LARG ≤ 1,50)</t>
  </si>
  <si>
    <t>3,00 &lt; PROF ≤ 4,50 (1,50 &lt; LARG ≤ 2,50)</t>
  </si>
  <si>
    <t>4,50 &lt; PROF ≤ 6,00 (0,00 &lt; LARG  ≤ 0,80)</t>
  </si>
  <si>
    <t>4,50 &lt; PROF ≤ 6,00 (0,80 &lt; LARG ≤ 1,50)</t>
  </si>
  <si>
    <t>4,50 &lt; PROF ≤ 6,00 (1,50 &lt; LARG ≤ 2,50)</t>
  </si>
  <si>
    <t>VOLUME DO TUBO (SEÇÃO EXTERNA)</t>
  </si>
  <si>
    <t>TAXA INSERVÍVEL DO MATERIAL ESCAVADO</t>
  </si>
  <si>
    <t>FATOR DE EMPOLAMENTO MAT. ESCAVADO</t>
  </si>
  <si>
    <t>VOLUME ESCAVADO INSERVÍVEL</t>
  </si>
  <si>
    <t>VOLUME TOTAL BOTA-FORA (EMPOLADO)</t>
  </si>
  <si>
    <t>0,00 &lt; PROF ≤ 1,50 (0,00 &lt; LARG  ≤ 1,50)</t>
  </si>
  <si>
    <t>1,50 &lt; PROF ≤ 3,00 (0,00 &lt; LARG  ≤ 1,50)</t>
  </si>
  <si>
    <t>3,00 &lt; PROF ≤ 4,50 (0,00 &lt; LARG  ≤ 1,50)</t>
  </si>
  <si>
    <t>LARG. DA BASE &lt; 1,50m</t>
  </si>
  <si>
    <t>LARG. DA BASE ≥ 1,50m</t>
  </si>
  <si>
    <t>VOLUME GEOMÉTRICO (BASE &lt; 1,50m)</t>
  </si>
  <si>
    <t>VOLUME GEOMÉTRICO (BASE ≥ 1,50m)</t>
  </si>
  <si>
    <t>TAXA DE EMPOLAMENTO MATER. DA BASE</t>
  </si>
  <si>
    <t>VOLUME EMPOLADO</t>
  </si>
  <si>
    <t>mm</t>
  </si>
  <si>
    <t>%</t>
  </si>
  <si>
    <t>T</t>
  </si>
  <si>
    <t>TR-01</t>
  </si>
  <si>
    <t>PS-1</t>
  </si>
  <si>
    <t>Brita</t>
  </si>
  <si>
    <t>TR-02</t>
  </si>
  <si>
    <t>TR-03</t>
  </si>
  <si>
    <t>TR-04</t>
  </si>
  <si>
    <t>Diâmetro</t>
  </si>
  <si>
    <t>Peso linear (t/m)</t>
  </si>
  <si>
    <t>PLANILHA DE QUANTIDADES DE SERVIÇOS DA DRENAGEM PROFUNDA</t>
  </si>
  <si>
    <t>DRENAGEM PROFUNDA - DRENO PROFUNDO COM TUBO PEAD</t>
  </si>
  <si>
    <t>Hmédia(m)</t>
  </si>
  <si>
    <t>COMPRIM. (M)</t>
  </si>
  <si>
    <t>BASE INFERIOR (M)</t>
  </si>
  <si>
    <t>BASE SUPERIOR (M)</t>
  </si>
  <si>
    <t>ESCAVAÇÃO MECANICA (M³)</t>
  </si>
  <si>
    <t>REATERRO MECÂNICO PROF. 0,0 A 1,50m (M³)</t>
  </si>
  <si>
    <t>BOTA FORA (M³)</t>
  </si>
  <si>
    <t>TUBO PEAD DN 150MM</t>
  </si>
  <si>
    <t>PEDRA BRITADA Nº3</t>
  </si>
  <si>
    <t>MANTA GEOTEXTIL 200G/M²</t>
  </si>
  <si>
    <t>DMT TUBOS:</t>
  </si>
  <si>
    <t>DMT BOTA FORA:</t>
  </si>
  <si>
    <t>DMT BRITA:</t>
  </si>
  <si>
    <t>Coeficiente de Impermeabilização e Fator a</t>
  </si>
  <si>
    <t>Graus de Urbanização</t>
  </si>
  <si>
    <t>Uso do Solo</t>
  </si>
  <si>
    <t>Coeficiente de
Impermeabilidade (C)</t>
  </si>
  <si>
    <t>Fator a</t>
  </si>
  <si>
    <t>Áreas densamente
urbanizadas</t>
  </si>
  <si>
    <t>Zonas residenciais
urbanas</t>
  </si>
  <si>
    <t>Zonas suburbanas</t>
  </si>
  <si>
    <t>Zona Rural</t>
  </si>
  <si>
    <t>Tempo de entrada em áreas urbanas</t>
  </si>
  <si>
    <t>Natureza da área a montante</t>
  </si>
  <si>
    <t>Declividade da sarjeta</t>
  </si>
  <si>
    <t>I &lt;= 3%</t>
  </si>
  <si>
    <t>I &gt; 3%</t>
  </si>
  <si>
    <t>Áreas densamente
construídas</t>
  </si>
  <si>
    <t>10 min</t>
  </si>
  <si>
    <t>5 min</t>
  </si>
  <si>
    <t>Áreas residenciais</t>
  </si>
  <si>
    <t>12 min</t>
  </si>
  <si>
    <t>Parques e jardins</t>
  </si>
  <si>
    <t xml:space="preserve">15 min </t>
  </si>
  <si>
    <t>FH de 0.001 a 0.080</t>
  </si>
  <si>
    <t>Douradina/MS</t>
  </si>
  <si>
    <t>Largura
(m)</t>
  </si>
  <si>
    <t>Área Base 
(m²)</t>
  </si>
  <si>
    <t>TRANS. CBUQ (DMT ATÉ 30km):</t>
  </si>
  <si>
    <t>TRANS. CBUQ (DMT EXC. 30km):</t>
  </si>
  <si>
    <t>TRANS. BRITA (DMT ATÉ 30km):</t>
  </si>
  <si>
    <t>TRANS. BRITA (DMT EXC. 30km):</t>
  </si>
  <si>
    <t xml:space="preserve">Transporte de piso tátil (DMT exc. 30km): </t>
  </si>
  <si>
    <t xml:space="preserve">Transporte de piso tátil (DMT até 30km): </t>
  </si>
  <si>
    <t>Carga e descarga:</t>
  </si>
  <si>
    <t>Movimentação de terra</t>
  </si>
  <si>
    <t>LD</t>
  </si>
  <si>
    <t>e</t>
  </si>
  <si>
    <t>USINA ITAPORÃ</t>
  </si>
  <si>
    <t>Planilha Orçamentária Resumida</t>
  </si>
  <si>
    <t xml:space="preserve"> 1 </t>
  </si>
  <si>
    <t xml:space="preserve"> 2 </t>
  </si>
  <si>
    <t xml:space="preserve"> 3 </t>
  </si>
  <si>
    <t xml:space="preserve"> 4 </t>
  </si>
  <si>
    <t>Não Desonerado</t>
  </si>
  <si>
    <t xml:space="preserve">_______________________________________________________________
HDO ENGENHARIA E CONSULTORIA
CNPJ: 24.011.741/0001-36
</t>
  </si>
  <si>
    <t>DMT</t>
  </si>
  <si>
    <t>_______________________________________________________________
HDO ENGENHARIA E CONSULTORIA
CNPJ: 24.011.741/0001-36</t>
  </si>
  <si>
    <t>Porcentagem</t>
  </si>
  <si>
    <t>Custo</t>
  </si>
  <si>
    <t>Porcentagem Acumulado</t>
  </si>
  <si>
    <t>Custo Acumulado</t>
  </si>
  <si>
    <t>E</t>
  </si>
  <si>
    <t>Área 
(m²)</t>
  </si>
  <si>
    <t>Trecho</t>
  </si>
  <si>
    <t>TRANSP. BRITA DMT ATÉ 30km:</t>
  </si>
  <si>
    <t>COMPACTAÇÃO ATERRO:</t>
  </si>
  <si>
    <t>JAZIDA DE ARENITO</t>
  </si>
  <si>
    <t>Largura de Calçadas (m)</t>
  </si>
  <si>
    <t>Largura de Grama (m)</t>
  </si>
  <si>
    <t>Preparo de Solo (m²)</t>
  </si>
  <si>
    <t>Área Total de Grama (m²)</t>
  </si>
  <si>
    <t>Comprimento Total de Piso Tátil (m)</t>
  </si>
  <si>
    <t>Área Total de Piso Tátil (m²)</t>
  </si>
  <si>
    <t>Área Total de Concreto (m²)</t>
  </si>
  <si>
    <t>Área de grama (m²)</t>
  </si>
  <si>
    <t>Transporte bota fora:</t>
  </si>
  <si>
    <t>Demolição de Calçada Existente:</t>
  </si>
  <si>
    <t>A-32b</t>
  </si>
  <si>
    <t>ESC. CORTE SUBLEITO:</t>
  </si>
  <si>
    <t>1) NOSSO USUAL PARA O TALUDE DE ESCAVAÇÃO É 1/4;</t>
  </si>
  <si>
    <t>2) PESO DOS TUBOS SÃO OS MESMOS ADOTADOS PELA DEIURB/AGESUL.</t>
  </si>
  <si>
    <t>QTDE</t>
  </si>
  <si>
    <t>ESTRUTURA</t>
  </si>
  <si>
    <t>CONCRETO SIMPLES
(m³/und)</t>
  </si>
  <si>
    <t>CONCRETO ARMADO
(m³/und)</t>
  </si>
  <si>
    <t>TOTAL CONCRETO SIMPLES
(m³)</t>
  </si>
  <si>
    <t>TOTAL CONCRETO ARMADO
(m³)</t>
  </si>
  <si>
    <t>DMT BOTA-FORA:</t>
  </si>
  <si>
    <t>TRANSPORTE MATERIAL DEMOLIDO PARA BOTA-FORA:</t>
  </si>
  <si>
    <t>UNIDADE</t>
  </si>
  <si>
    <t xml:space="preserve"> 2</t>
  </si>
  <si>
    <t xml:space="preserve"> 3</t>
  </si>
  <si>
    <t xml:space="preserve"> 4</t>
  </si>
  <si>
    <t>Vol. Corte 
(m³)</t>
  </si>
  <si>
    <t>120 DIAS</t>
  </si>
  <si>
    <t>MEIO-FIO</t>
  </si>
  <si>
    <t>CARGA, MAN. E DESCARGA MATERIAL DEMOLIDO:</t>
  </si>
  <si>
    <t xml:space="preserve">OBRA: </t>
  </si>
  <si>
    <t>Equação da Chuva</t>
  </si>
  <si>
    <t>Vazão (Deflúvio a escoar):</t>
  </si>
  <si>
    <t>Q = 2,78 x n x I x A x f</t>
  </si>
  <si>
    <r>
      <rPr>
        <b/>
        <sz val="10"/>
        <rFont val="Calibri"/>
        <family val="2"/>
        <scheme val="minor"/>
      </rPr>
      <t>Tempo de Concentração - Formulação de Mc Cuen - (tc):</t>
    </r>
    <r>
      <rPr>
        <sz val="10"/>
        <rFont val="Calibri"/>
        <family val="2"/>
        <scheme val="minor"/>
      </rPr>
      <t xml:space="preserve">                                                           L - comprimento talvegue (km)   ;                                                                                            S - Declividade (m/m)</t>
    </r>
  </si>
  <si>
    <t>Coeficiente de impermeabilidade (C):</t>
  </si>
  <si>
    <t>Coeficiente de Deflúvio ( f ):</t>
  </si>
  <si>
    <t>Fator  impermeabilidade ( a ):</t>
  </si>
  <si>
    <t>a = (2,913 + 64,073 x C) x 10³</t>
  </si>
  <si>
    <t>EXTENSÃO (m)</t>
  </si>
  <si>
    <t>Área de Contribuição
(ha)</t>
  </si>
  <si>
    <t>C
Coef. Impermeabilidade</t>
  </si>
  <si>
    <r>
      <t>n (A</t>
    </r>
    <r>
      <rPr>
        <b/>
        <vertAlign val="superscript"/>
        <sz val="8"/>
        <rFont val="Calibri"/>
        <family val="2"/>
        <scheme val="minor"/>
      </rPr>
      <t>-0,15</t>
    </r>
    <r>
      <rPr>
        <b/>
        <sz val="8"/>
        <rFont val="Calibri"/>
        <family val="2"/>
        <scheme val="minor"/>
      </rPr>
      <t>)
Coef. Distribuição</t>
    </r>
  </si>
  <si>
    <t xml:space="preserve">f
Coef. de Deflúvio </t>
  </si>
  <si>
    <t>I
Precipitação 
(L/s/ha)</t>
  </si>
  <si>
    <t>Vazão Q 
(m³/s)</t>
  </si>
  <si>
    <t>Vazão Q
Existente
(m³/s)</t>
  </si>
  <si>
    <t>tc 
(min)</t>
  </si>
  <si>
    <t>te
Tempo Percurso 
(min)</t>
  </si>
  <si>
    <t>Desnível
(m)</t>
  </si>
  <si>
    <t>Declividade
(%)</t>
  </si>
  <si>
    <t>Vazão que Escoa Pela Rua 
(m³/s)</t>
  </si>
  <si>
    <t>Desnível Rua
(m)</t>
  </si>
  <si>
    <t>Declividade da Rua
 (m/m)</t>
  </si>
  <si>
    <t>Diâmetro de Projeto 
(m)</t>
  </si>
  <si>
    <t>Área de Projeto (m²)</t>
  </si>
  <si>
    <t>Linhas Existentes
(und)</t>
  </si>
  <si>
    <t>Diâmetro Existente
(m)</t>
  </si>
  <si>
    <t>Linhas a Implantar
(und)</t>
  </si>
  <si>
    <t>Verificação Diâmetro 1 Linha</t>
  </si>
  <si>
    <t>Diâmetro Comercial 
(m)</t>
  </si>
  <si>
    <t>Área do Diâmetro Comercial
(m²)</t>
  </si>
  <si>
    <t>V 
(m/s)</t>
  </si>
  <si>
    <t>Tirante y/D 
(%)</t>
  </si>
  <si>
    <t>Tirante Normal Y (m)</t>
  </si>
  <si>
    <t>Vazão Máxima p/ h=0,94d (Projetada)
(m³/s)</t>
  </si>
  <si>
    <t>Vazão Máxima p/ h=0,94d
(Existente)
(m³/s)</t>
  </si>
  <si>
    <t>Vazão Máxima TOTAL
(m³/s)</t>
  </si>
  <si>
    <t>Cota do Terreno ou Greide
(m)</t>
  </si>
  <si>
    <t>Profundidade PV
(m)</t>
  </si>
  <si>
    <t>Cota da Geratriz Inferior Externa
(m)</t>
  </si>
  <si>
    <t>Cota do Nível d'água
(m)</t>
  </si>
  <si>
    <t>Recobrimento da Galeria
(m)</t>
  </si>
  <si>
    <t>Montante</t>
  </si>
  <si>
    <t>Jusante</t>
  </si>
  <si>
    <r>
      <t xml:space="preserve">Nº LINHAS </t>
    </r>
    <r>
      <rPr>
        <b/>
        <sz val="8"/>
        <color rgb="FFFF0000"/>
        <rFont val="Calibri"/>
        <family val="2"/>
        <scheme val="minor"/>
      </rPr>
      <t>EXISTENTE</t>
    </r>
  </si>
  <si>
    <r>
      <t xml:space="preserve">DIÂMETRO NOMINAL </t>
    </r>
    <r>
      <rPr>
        <b/>
        <sz val="8"/>
        <color rgb="FFFF0000"/>
        <rFont val="Calibri"/>
        <family val="2"/>
        <scheme val="minor"/>
      </rPr>
      <t>EXISTENTE</t>
    </r>
  </si>
  <si>
    <t>TR-05</t>
  </si>
  <si>
    <t>TR-06</t>
  </si>
  <si>
    <t>TR-07</t>
  </si>
  <si>
    <t>TR-08</t>
  </si>
  <si>
    <t>TR-09</t>
  </si>
  <si>
    <t>TUBO 40cm
(BIGODES)</t>
  </si>
  <si>
    <t>GALERIA</t>
  </si>
  <si>
    <t>TRANSP. TUBOS DMT ATÉ 30km:</t>
  </si>
  <si>
    <t>DISPOSITIVO</t>
  </si>
  <si>
    <t>TRANSP. BRITA DMT EXC 30km:</t>
  </si>
  <si>
    <t>TRANSP. TUBOS DMT EXC 30km:</t>
  </si>
  <si>
    <t>BLS</t>
  </si>
  <si>
    <t>BLD</t>
  </si>
  <si>
    <t>BLT</t>
  </si>
  <si>
    <t>PV TIPO 01</t>
  </si>
  <si>
    <r>
      <rPr>
        <sz val="9"/>
        <rFont val="Arial"/>
        <family val="2"/>
      </rPr>
      <t>C</t>
    </r>
    <r>
      <rPr>
        <vertAlign val="subscript"/>
        <sz val="9"/>
        <rFont val="Arial"/>
        <family val="2"/>
      </rPr>
      <t>2</t>
    </r>
  </si>
  <si>
    <r>
      <rPr>
        <sz val="9"/>
        <rFont val="Arial"/>
        <family val="2"/>
      </rPr>
      <t>C</t>
    </r>
    <r>
      <rPr>
        <vertAlign val="subscript"/>
        <sz val="9"/>
        <rFont val="Arial"/>
        <family val="2"/>
      </rPr>
      <t>3</t>
    </r>
  </si>
  <si>
    <r>
      <rPr>
        <sz val="10"/>
        <rFont val="Arial"/>
        <family val="2"/>
      </rPr>
      <t xml:space="preserve">y
</t>
    </r>
    <r>
      <rPr>
        <sz val="10"/>
        <rFont val="Arial"/>
        <family val="2"/>
      </rPr>
      <t>d</t>
    </r>
  </si>
  <si>
    <r>
      <rPr>
        <sz val="9"/>
        <rFont val="Arial"/>
        <family val="2"/>
      </rPr>
      <t>C</t>
    </r>
    <r>
      <rPr>
        <vertAlign val="subscript"/>
        <sz val="9"/>
        <rFont val="Arial"/>
        <family val="2"/>
      </rPr>
      <t>1</t>
    </r>
  </si>
  <si>
    <r>
      <rPr>
        <sz val="9"/>
        <rFont val="Arial"/>
        <family val="2"/>
      </rPr>
      <t>0,5310.</t>
    </r>
  </si>
  <si>
    <t>EMULSÃO TIPO EAI</t>
  </si>
  <si>
    <t>Implantação de Drenagem e Águas Pluvias e Pavimentação Asfáltica - Polo Industrial</t>
  </si>
  <si>
    <t>Extensão (m)</t>
  </si>
  <si>
    <t>Largura Via (m)</t>
  </si>
  <si>
    <t>Largura Capa (m)</t>
  </si>
  <si>
    <t>Áreas dos raios e cruzamento ruas (m²)</t>
  </si>
  <si>
    <t>Áreas total
 de capa (m²)</t>
  </si>
  <si>
    <t>Sub-Base</t>
  </si>
  <si>
    <t>Base</t>
  </si>
  <si>
    <t>Regularização e Compactação sub-leito (m²)</t>
  </si>
  <si>
    <t>Vol. 
Aterro (m³)</t>
  </si>
  <si>
    <t>Volume Sub-Base
(m³)</t>
  </si>
  <si>
    <t>Esp. Base
 (m)</t>
  </si>
  <si>
    <t>Vol.  Base
 (m³)</t>
  </si>
  <si>
    <t>Transp.  
EAI (0,0012t/m²)</t>
  </si>
  <si>
    <t>Capa</t>
  </si>
  <si>
    <t>Guia e Sarjeta
 (m)</t>
  </si>
  <si>
    <t>Demolição Pavimento Existente (m²)</t>
  </si>
  <si>
    <t>Demolição MFC
0,0615m³/m
  (m)</t>
  </si>
  <si>
    <t>Esp.
 (m)</t>
  </si>
  <si>
    <t>CBUQ
 (m³)</t>
  </si>
  <si>
    <t>TRANS. EAI (DMT ATÉ 30km):</t>
  </si>
  <si>
    <t>CARGA, DESC. MATERIAL BOTA-FORA (EMP. 15%):</t>
  </si>
  <si>
    <t>TRANS. EAI (DMT EXC. 30km):</t>
  </si>
  <si>
    <t>TRANSP. BOTA-FORA (EMP.30%):</t>
  </si>
  <si>
    <t>TRANSP. MATERIAL BASE (EMP. 30%) DMT ATÉ 30km:</t>
  </si>
  <si>
    <t>ESPALHAMENTO MATERIAL BOTA-FORA (EMP. 30%):</t>
  </si>
  <si>
    <t>TRANSP. MATERIAL BASE (EMP. 30%) DMT EXC. 30km:</t>
  </si>
  <si>
    <t>ESC, CARGA E TRANSP. DMT 200M (EMP.30%):</t>
  </si>
  <si>
    <t>EXECUÇÃO DA BASE:</t>
  </si>
  <si>
    <t>CBUQ COMERCIAL</t>
  </si>
  <si>
    <t>AQUISIÇÃO MATERIAL SBASE (EMP. 15%):</t>
  </si>
  <si>
    <t>TRANSP. MATERIAL SBASE (EMP. 30%) DMT ATÉ 30km:</t>
  </si>
  <si>
    <t>TRANSP. MATERIAL SBASE (EMP. 30%) DMT EXC. 30km:</t>
  </si>
  <si>
    <t>EXECUÇÃO DA SUB-BASE:</t>
  </si>
  <si>
    <t>COORDENADAS POÇOS DE VISITA</t>
  </si>
  <si>
    <t>N</t>
  </si>
  <si>
    <t>PAVIMENTO</t>
  </si>
  <si>
    <t>PAVIMENTO
(m²/und)</t>
  </si>
  <si>
    <t>TOTAL PAVIMENTO
(m²)</t>
  </si>
  <si>
    <t>Rua Projetada 08</t>
  </si>
  <si>
    <t>Rua Projetada 09</t>
  </si>
  <si>
    <t>Rua Projetada 10</t>
  </si>
  <si>
    <t>Rua Projetada 08 - Parte 01</t>
  </si>
  <si>
    <t>Rua Projetada 08 - Parte 02</t>
  </si>
  <si>
    <t>Rua Projetada 09 - Parte 01</t>
  </si>
  <si>
    <t>Rua Projetada 09 - Parte 02</t>
  </si>
  <si>
    <t>QUANTIDADE DA SINALIZAÇÃO HORIZONTAL (PINTURA MECANIZADA)</t>
  </si>
  <si>
    <t>FAIXA CONTÍNUA (LFO-3)</t>
  </si>
  <si>
    <t>FAIXA TRACEJADA (LOF-2)</t>
  </si>
  <si>
    <t>SENTIDO DE CIRCULAÇÃO DA VIA (PEM)</t>
  </si>
  <si>
    <t>QUANTIDADE DA SINALIZAÇÃO VERTICAL</t>
  </si>
  <si>
    <t>L0,35</t>
  </si>
  <si>
    <t>VELOCIDADE MÁXIMA</t>
  </si>
  <si>
    <t>D0,50</t>
  </si>
  <si>
    <t>IDENTIFICAÇÃO DE LOGRADOURO</t>
  </si>
  <si>
    <t>POSTES</t>
  </si>
  <si>
    <t>PLACA LOGRADOURO</t>
  </si>
  <si>
    <t>0,45x0,25</t>
  </si>
  <si>
    <t>FAIXA TRACEJADA (LMS-1)</t>
  </si>
  <si>
    <t>FAIXA CONTÍNUA (LMS-1)</t>
  </si>
  <si>
    <t>PASSAGEM DE PEDESTRES</t>
  </si>
  <si>
    <t>D0,60</t>
  </si>
  <si>
    <t>PLANILHA DE QUANTIDADES DE SERVIÇOS DA TERRAPLENAGEM DRENAGEM - LOTEAMENTO</t>
  </si>
  <si>
    <t>BOCA DE BDTC 1.00m</t>
  </si>
  <si>
    <t>EDA-01</t>
  </si>
  <si>
    <t>PLANILHA DE QUANTIDADES DE SERVIÇOS DA TERRAPLENAGEM DRENAGEM - ACESSO</t>
  </si>
  <si>
    <t>PASSAGEM OBRIGATÓRIA</t>
  </si>
  <si>
    <t>R-24b</t>
  </si>
  <si>
    <t>MARCADOR DE PERIGO 02</t>
  </si>
  <si>
    <t>MP-02</t>
  </si>
  <si>
    <t>D0,30X0,90</t>
  </si>
  <si>
    <t>MARCADOR DE PERIGO 03</t>
  </si>
  <si>
    <t>MP-03</t>
  </si>
  <si>
    <t>R-24a</t>
  </si>
  <si>
    <t>VIRE A DIREITA</t>
  </si>
  <si>
    <t>R-25b</t>
  </si>
  <si>
    <t>ÁREA NÃO UTILIZAVEL (ZPA)</t>
  </si>
  <si>
    <t>LINHA DE CANALIZAÇÃO (LCA)</t>
  </si>
  <si>
    <t>LINHA DE BORDO (LBO)</t>
  </si>
  <si>
    <t>I-01</t>
  </si>
  <si>
    <t>I-02</t>
  </si>
  <si>
    <t>I-03</t>
  </si>
  <si>
    <t>I-04</t>
  </si>
  <si>
    <t>2,40X1,70</t>
  </si>
  <si>
    <t>2,40X1,50</t>
  </si>
  <si>
    <t>1,70X0,70</t>
  </si>
  <si>
    <t>1,65X0,45</t>
  </si>
  <si>
    <t>INDICATIVA (SUPORTE DUPLO)</t>
  </si>
  <si>
    <t>Acesso - Interseção</t>
  </si>
  <si>
    <t>RAMO 100</t>
  </si>
  <si>
    <t>RAMO 200</t>
  </si>
  <si>
    <t>RAMO 300</t>
  </si>
  <si>
    <t>RAMO 400</t>
  </si>
  <si>
    <t>Vol. de Limpeza
(m³)</t>
  </si>
  <si>
    <t>PV-1 TIPO 1</t>
  </si>
  <si>
    <t>PV-2 TIPO 1</t>
  </si>
  <si>
    <t>PV-3 TIPO 1</t>
  </si>
  <si>
    <t>PV-4 TIPO 1</t>
  </si>
  <si>
    <t>PV-5 TIPO 1</t>
  </si>
  <si>
    <t>PV-6 TIPO 1</t>
  </si>
  <si>
    <t>PV-7 TIPO 1</t>
  </si>
  <si>
    <t>PV-8 TIPO 3</t>
  </si>
  <si>
    <t>PV-9 TIPO 3</t>
  </si>
  <si>
    <t>PV-10 TIPO 1</t>
  </si>
  <si>
    <t>PV-11 TIPO 4</t>
  </si>
  <si>
    <t>PV-12 TIPO 3</t>
  </si>
  <si>
    <t>7560665.5595m</t>
  </si>
  <si>
    <t>749288.7633m</t>
  </si>
  <si>
    <t>7560561.3807m</t>
  </si>
  <si>
    <t>749237.6929m</t>
  </si>
  <si>
    <t>7560457.2420m</t>
  </si>
  <si>
    <t>749186.6316m</t>
  </si>
  <si>
    <t>7560353.0834m</t>
  </si>
  <si>
    <t>749135.5655m</t>
  </si>
  <si>
    <t>7560266.8829m</t>
  </si>
  <si>
    <t>749093.3044m</t>
  </si>
  <si>
    <t>7560180.6826m</t>
  </si>
  <si>
    <t>749051.0430m</t>
  </si>
  <si>
    <t>7560094.4725m</t>
  </si>
  <si>
    <t>749008.7897m</t>
  </si>
  <si>
    <t>7560008.2750m</t>
  </si>
  <si>
    <t>748966.5341m</t>
  </si>
  <si>
    <t>7559941.1624m</t>
  </si>
  <si>
    <t>748933.6136m</t>
  </si>
  <si>
    <t>7559958.7465m</t>
  </si>
  <si>
    <t>748845.6004m</t>
  </si>
  <si>
    <t>7559920.3464m</t>
  </si>
  <si>
    <t>748923.1955m</t>
  </si>
  <si>
    <t>7559863.9957m</t>
  </si>
  <si>
    <t>749033.3470m</t>
  </si>
  <si>
    <t>BOCA BDTC 1.00m</t>
  </si>
  <si>
    <t>7559816.9106m</t>
  </si>
  <si>
    <t>749145.5797m</t>
  </si>
  <si>
    <t>PV TIPO 03</t>
  </si>
  <si>
    <t>BLD COMBINADA</t>
  </si>
  <si>
    <t>PV TIPO 04</t>
  </si>
  <si>
    <t>DAR-02</t>
  </si>
  <si>
    <t>DEB-01</t>
  </si>
  <si>
    <t>QUANTIFICAÇÃO GERAL DA PAVIMENTAÇÃO LOTEAMENTO</t>
  </si>
  <si>
    <t>CARGA, MATERIAL BASE (EMP. 15%):</t>
  </si>
  <si>
    <t>TRANSP. MATERIAL BASE (EMP. 10%) DMT EXC. 30km:</t>
  </si>
  <si>
    <t>TRANSP. MATERIAL BASE (EMP. 10%) DMT ATÉ 30km:</t>
  </si>
  <si>
    <t>Guia sem Sarjeta
MFC-05
 (m)</t>
  </si>
  <si>
    <t>Vol. Corte (m³)</t>
  </si>
  <si>
    <t>Vol. Aterro (m³)</t>
  </si>
  <si>
    <t>Vol. Bota-Fora 
(m³)</t>
  </si>
  <si>
    <t>Bacia de Detenção</t>
  </si>
  <si>
    <t>CARGA, DESCARGA MATERIAL BOTA-FORA:</t>
  </si>
  <si>
    <t>TRANSP. BOTA-FORA:</t>
  </si>
  <si>
    <t>ESC, CARGA E TRANS. 50 A 200M/ ESPALHAMENTO:</t>
  </si>
  <si>
    <t>Vol. Limpeza
(m³)</t>
  </si>
  <si>
    <t>Vol. Importação Material 
(m³)</t>
  </si>
  <si>
    <t>MFC-01
(m)</t>
  </si>
  <si>
    <t>MFC-05
(m)</t>
  </si>
  <si>
    <t>Nota:</t>
  </si>
  <si>
    <r>
      <rPr>
        <b/>
        <sz val="10"/>
        <rFont val="Calibri"/>
        <family val="2"/>
        <scheme val="minor"/>
      </rPr>
      <t>1 -</t>
    </r>
    <r>
      <rPr>
        <sz val="10"/>
        <rFont val="Calibri"/>
        <family val="2"/>
        <scheme val="minor"/>
      </rPr>
      <t xml:space="preserve"> Utilizar material escavado das bacias de detenção para o aterro.</t>
    </r>
  </si>
  <si>
    <t>ESPESSURA DO PAVIMENTO:</t>
  </si>
  <si>
    <t>PLANILHA DE DIMENSIONAMENTO - LOTEAMENTO</t>
  </si>
  <si>
    <t>PLANILHA DE DIMENSIONAMENTO - ACESSO AO LOTEAMENTO</t>
  </si>
  <si>
    <t>Vertedor Pedra Argamassada
(m³)</t>
  </si>
  <si>
    <t>TRANSP. PEDRA RACHÃO:</t>
  </si>
  <si>
    <t>Vol. Material Aterro Acesso (m³)</t>
  </si>
  <si>
    <r>
      <rPr>
        <b/>
        <sz val="10"/>
        <rFont val="Calibri"/>
        <family val="2"/>
        <scheme val="minor"/>
      </rPr>
      <t>1 -</t>
    </r>
    <r>
      <rPr>
        <sz val="10"/>
        <rFont val="Calibri"/>
        <family val="2"/>
        <scheme val="minor"/>
      </rPr>
      <t xml:space="preserve"> Utilizar material escavado das bacias de detenção para o aterro do acesso.</t>
    </r>
  </si>
  <si>
    <t>Projeto de Engenharia para Infraestrutura Urbana - Polo Industrial - Douradina/MS</t>
  </si>
  <si>
    <t>LOTEAMENTO</t>
  </si>
  <si>
    <t>ACESSO AO LOTEAMENTO</t>
  </si>
  <si>
    <t>ADMINISTRAÇÃO LOCAL DO CANTEIRO DE OBRAS</t>
  </si>
  <si>
    <t xml:space="preserve"> 1.1 </t>
  </si>
  <si>
    <t xml:space="preserve"> COMP 2020 211 </t>
  </si>
  <si>
    <t>Próprio</t>
  </si>
  <si>
    <t>PLACA DE OBRA EM CHAPA DE ACO GALVANIZADO (Ref. SINAPI 74209/001-01/2020).</t>
  </si>
  <si>
    <t xml:space="preserve"> 1.2 </t>
  </si>
  <si>
    <t xml:space="preserve"> 93207 </t>
  </si>
  <si>
    <t>SINAPI</t>
  </si>
  <si>
    <t>EXECUÇÃO DE ESCRITÓRIO EM CANTEIRO DE OBRA EM CHAPA DE MADEIRA COMPENSADA, NÃO INCLUSO MOBILIÁRIO E EQUIPAMENTOS. AF_02/2016</t>
  </si>
  <si>
    <t xml:space="preserve"> 1.3 </t>
  </si>
  <si>
    <t xml:space="preserve"> COMP 2020 212 </t>
  </si>
  <si>
    <t>ENTRADA PROVISORIA DE ENERGIA ELETRICA AEREA TRIFASICA 40A EM POSTE MADEIRA (Ref. SINAPI 41598-01/2020)</t>
  </si>
  <si>
    <t xml:space="preserve"> 1.4 </t>
  </si>
  <si>
    <t xml:space="preserve"> COMP 2020 054 </t>
  </si>
  <si>
    <t>LIGAÇÃO PROVISORIA DE ÁGUA</t>
  </si>
  <si>
    <t xml:space="preserve"> 1.5 </t>
  </si>
  <si>
    <t xml:space="preserve"> IUI00003 </t>
  </si>
  <si>
    <t>SINALIZAÇÃO DE ADVERTÊNCIA DE OBRA COM PLACA (FUNDO LARANJA) SOBRE CAVALETE, CONFORME ABNT-NBR-7678</t>
  </si>
  <si>
    <t xml:space="preserve"> 1.6 </t>
  </si>
  <si>
    <t xml:space="preserve"> COMP 2020 048 </t>
  </si>
  <si>
    <t>ISOLAMENTO DE OBRA COM TELA PLASTICA COM MALHA DE 5MM</t>
  </si>
  <si>
    <t xml:space="preserve"> 1.7 </t>
  </si>
  <si>
    <t xml:space="preserve"> COMP 2020 213 </t>
  </si>
  <si>
    <t>SINALIZACAO DE TRANSITO - NOTURNA (Ref. SINAPI 74221/001-01/2020)</t>
  </si>
  <si>
    <t xml:space="preserve"> 2.1 </t>
  </si>
  <si>
    <t>DRENAGEM DE ÁGUAS PLUVIAIS</t>
  </si>
  <si>
    <t xml:space="preserve"> 2.1.1 </t>
  </si>
  <si>
    <t xml:space="preserve"> 90106 </t>
  </si>
  <si>
    <t>ESCAVAÇÃO MECANIZADA DE VALA COM PROFUNDIDADE ATÉ 1,5 M (MÉDIA ENTRE MONTANTE E JUSANTE/UMA COMPOSIÇÃO POR TRECHO) COM RETROESCAVADEIRA (CAPACIDADE DA CAÇAMBA DA RETRO: 0,26 M3 / POTÊNCIA: 88 HP), LARGURA DE 0,8 M A 1,5 M, EM SOLO DE 1A CATEGORIA, LOCAISCOM BAIXO NÍVEL DE INTERFERÊNCIA. AF_02/2021</t>
  </si>
  <si>
    <t xml:space="preserve"> 2.1.2 </t>
  </si>
  <si>
    <t xml:space="preserve"> 102281 </t>
  </si>
  <si>
    <t>ESCAVAÇÃO MECANIZADA DE VALA COM PROF. MAIOR QUE 1,5 M ATÉ 3,0 M (MÉDIA ENTRE MONTANTE E JUSANTE/UMA COMPOSIÇÃO POR TRECHO),COM ESCAVADEIRA HIDRÁULICA (1,2 M3/155 HP),LARG. DE 1,5 M A 2,5 M, EM SOLO DE 1A CATEGORIA, LOCAIS COM BAIXO NÍVEL DE INTERFERÊNCIA. AF_02/2021</t>
  </si>
  <si>
    <t xml:space="preserve"> 2.1.5 </t>
  </si>
  <si>
    <t xml:space="preserve"> 100980 </t>
  </si>
  <si>
    <t>CARGA, MANOBRA E DESCARGA DE SOLOS E MATERIAIS GRANULARES EM CAMINHÃO BASCULANTE 18 M³ - CARGA COM ESCAVADEIRA HIDRÁULICA (CAÇAMBA DE 1,20 M³ / 155 HP) E DESCARGA LIVRE (UNIDADE: M3). AF_07/2020</t>
  </si>
  <si>
    <t xml:space="preserve"> 2.1.6 </t>
  </si>
  <si>
    <t xml:space="preserve"> 95875 </t>
  </si>
  <si>
    <t>TRANSPORTE COM CAMINHÃO BASCULANTE DE 10 M3, EM VIA URBANA PAVIMENTADA, DMT ATÉ 30 KM (UNIDADE: M3XKM). AF_12/2016</t>
  </si>
  <si>
    <t xml:space="preserve"> 2.1.7 </t>
  </si>
  <si>
    <t xml:space="preserve"> 100574 </t>
  </si>
  <si>
    <t>ESPALHAMENTO DE MATERIAL COM TRATOR DE ESTEIRAS. AF_11/2019</t>
  </si>
  <si>
    <t xml:space="preserve"> 2.1.8 </t>
  </si>
  <si>
    <t xml:space="preserve"> 101573 </t>
  </si>
  <si>
    <t>ESCORAMENTO DE VALA, TIPO PONTALETEAMENTO, COM PROFUNDIDADE DE 1,5 A 3,0 M, LARGURA MAIOR OU IGUAL A 1,5 M E MENOR QUE 2,5 M. AF_08/2020</t>
  </si>
  <si>
    <t xml:space="preserve"> 2.1.10 </t>
  </si>
  <si>
    <t xml:space="preserve"> 101616 </t>
  </si>
  <si>
    <t>PREPARO DE FUNDO DE VALA COM LARGURA MENOR QUE 1,5 M (ACERTO DO SOLO NATURAL). AF_08/2020</t>
  </si>
  <si>
    <t xml:space="preserve"> 2.1.11 </t>
  </si>
  <si>
    <t xml:space="preserve"> 101617 </t>
  </si>
  <si>
    <t>PREPARO DE FUNDO DE VALA COM LARGURA MAIOR OU IGUAL A 1,5 M E MENOR QUE 2,5 M (ACERTO DO SOLO NATURAL). AF_08/2020</t>
  </si>
  <si>
    <t xml:space="preserve"> 2.1.13 </t>
  </si>
  <si>
    <t xml:space="preserve"> 93379 </t>
  </si>
  <si>
    <t>REATERRO MECANIZADO DE VALA COM RETROESCAVADEIRA (CAPACIDADE DA CAÇAMBA DA RETRO: 0,26 M³ / POTÊNCIA: 88 HP), LARGURA DE 0,8 A 1,5 M, PROFUNDIDADE ATÉ 1,5 M, COM SOLO DE 1ª CATEGORIA EM LOCAIS COM BAIXO NÍVEL DE INTERFERÊNCIA. AF_04/2016</t>
  </si>
  <si>
    <t xml:space="preserve"> 2.1.14 </t>
  </si>
  <si>
    <t xml:space="preserve"> 93369 </t>
  </si>
  <si>
    <t>REATERRO MECANIZADO DE VALA COM ESCAVADEIRA HIDRÁULICA (CAPACIDADE DA CAÇAMBA: 0,8 M³ / POTÊNCIA: 111 HP), LARGURA DE 1,5 A 2,5 M, PROFUNDIDADE DE 1,5 A 3,0 M, COM SOLO (SEM SUBSTITUIÇÃO) DE 1ª CATEGORIA EM LOCAIS COM BAIXO NÍVEL DE INTERFERÊNCIA. AF_04/2016</t>
  </si>
  <si>
    <t xml:space="preserve"> 2.1.15 </t>
  </si>
  <si>
    <t xml:space="preserve"> 00007781 </t>
  </si>
  <si>
    <t>TUBO DE CONCRETO SIMPLES PARA AGUAS PLUVIAIS, CLASSE PS1, COM ENCAIXE PONTA E BOLSA, DIAMETRO NOMINAL DE 400 MM</t>
  </si>
  <si>
    <t xml:space="preserve"> 2.1.16 </t>
  </si>
  <si>
    <t xml:space="preserve"> 00007753 </t>
  </si>
  <si>
    <t>TUBO DE CONCRETO ARMADO PARA AGUAS PLUVIAIS, CLASSE PA-1, COM ENCAIXE PONTA E BOLSA, DIAMETRO NOMINAL DE 1000 MM</t>
  </si>
  <si>
    <t xml:space="preserve"> 2.1.18 </t>
  </si>
  <si>
    <t xml:space="preserve"> 92809 </t>
  </si>
  <si>
    <t>ASSENTAMENTO DE TUBO DE CONCRETO PARA REDES COLETORAS DE ÁGUAS PLUVIAIS, DIÂMETRO DE 400 MM, JUNTA RÍGIDA, INSTALADO EM LOCAL COM BAIXO NÍVEL DE INTERFERÊNCIAS (NÃO INCLUI FORNECIMENTO). AF_12/2015</t>
  </si>
  <si>
    <t xml:space="preserve"> 2.1.19 </t>
  </si>
  <si>
    <t xml:space="preserve"> 2.1.20 </t>
  </si>
  <si>
    <t xml:space="preserve"> 92815 </t>
  </si>
  <si>
    <t>ASSENTAMENTO DE TUBO DE CONCRETO PARA REDES COLETORAS DE ÁGUAS PLUVIAIS, DIÂMETRO DE 1000 MM, JUNTA RÍGIDA, INSTALADO EM LOCAL COM BAIXO NÍVEL DE INTERFERÊNCIAS (NÃO INCLUI FORNECIMENTO). AF_12/2015</t>
  </si>
  <si>
    <t xml:space="preserve"> 2.1.21 </t>
  </si>
  <si>
    <t xml:space="preserve"> 100947 </t>
  </si>
  <si>
    <t>TRANSPORTE COM CAMINHÃO CARROCERIA 9T, EM VIA URBANA PAVIMENTADA, DMT ATÉ 30KM (UNIDADE: TXKM). AF_07/2020</t>
  </si>
  <si>
    <t xml:space="preserve"> 2.1.22 </t>
  </si>
  <si>
    <t xml:space="preserve"> 100948 </t>
  </si>
  <si>
    <t>TRANSPORTE COM CAMINHÃO CARROCERIA 9T, EM VIA URBANA PAVIMENTADA, ADICIONAL PARA DMT EXCEDENTE A 30 KM (UNIDADE: TXKM). AF_07/2020</t>
  </si>
  <si>
    <t xml:space="preserve"> 2.1.23 </t>
  </si>
  <si>
    <t xml:space="preserve"> COMP 2022 005 </t>
  </si>
  <si>
    <t>PV-1 - POÇO DE VISITA 2,32 X 2,32 M, EM ALV. DE TIJ. COM. DE 1 VEZ ASS. E REV. INTERNO COM ARG. DE CIMENTO 1:3, LASTRO BRITA 12 CM, BERÇO 18 CM EM CONC. FCK=15 MPA, LAJE 12 CM EM CONC. ARMADO FCK=20 MPA, INCL. FORMA, ESC. MANUAL E REATERRO</t>
  </si>
  <si>
    <t xml:space="preserve"> 2.1.24 </t>
  </si>
  <si>
    <t xml:space="preserve"> COMP 2022 99 </t>
  </si>
  <si>
    <t>PV-3-Poço de vis. 2,32x3,95m, em alv. de tij. comum de 1 vez ass. e rev. intern. com arg. de cim. e areia 1:3, last. de brita 12cm, berço 18cm em conc. 15MPa, laje de 12cm em conc. arm. 20MPa, incl. forma, escav. manual e reat. apiloado. Excl. pesc. e tamp</t>
  </si>
  <si>
    <t xml:space="preserve"> 2.1.25 </t>
  </si>
  <si>
    <t xml:space="preserve"> 99319 </t>
  </si>
  <si>
    <t>CHAMINÉ CIRCULAR PARA POÇO DE VISITA PARA DRENAGEM, EM ALVENARIA COM TIJOLOS CERÂMICOS MACIÇOS, DIÂMETRO INTERNO = 0,6 M. AF_12/2020</t>
  </si>
  <si>
    <t xml:space="preserve"> 2.1.26 </t>
  </si>
  <si>
    <t xml:space="preserve"> 98114 </t>
  </si>
  <si>
    <t>TAMPA CIRCULAR PARA ESGOTO E DRENAGEM, EM FERRO FUNDIDO, DIÂMETRO INTERNO = 0,6 M. AF_12/2020</t>
  </si>
  <si>
    <t xml:space="preserve"> 2.1.27 </t>
  </si>
  <si>
    <t>BLSC - Boca-de-lobo simples, em concreto simples fck 20 MPa, incluindo forma, escavação, calçamento ao redor e frelha em FoFo tipo pesada, conforme projeto</t>
  </si>
  <si>
    <t xml:space="preserve"> 2.1.28 </t>
  </si>
  <si>
    <t xml:space="preserve"> 2.2 </t>
  </si>
  <si>
    <t>PAVIMENTAÇÃO ASFÁLTICA</t>
  </si>
  <si>
    <t xml:space="preserve"> 2.2.1 </t>
  </si>
  <si>
    <t xml:space="preserve"> 101116 </t>
  </si>
  <si>
    <t>ESCAVAÇÃO HORIZONTAL EM SOLO DE 1A CATEGORIA COM TRATOR DE ESTEIRAS (170HP/LÂMINA: 5,20M3). AF_07/2020 (CORTE)</t>
  </si>
  <si>
    <t xml:space="preserve"> 2.2.2 </t>
  </si>
  <si>
    <t>CARGA, MANOBRA E DESCARGA DE SOLOS E MATERIAIS GRANULARES EM CAMINHÃO BASCULANTE 18 M³ - CARGA COM ESCAVADEIRA HIDRÁULICA (CAÇAMBA DE 1,20 M³ / 155 HP) E DESCARGA LIVRE (UNIDADE: M3). AF_07/2020 (BOTA-FORA)</t>
  </si>
  <si>
    <t>TRANSPORTE COM CAMINHÃO BASCULANTE DE 10 M3, EM VIA URBANA PAVIMENTADA, DMT ATÉ 30 KM (UNIDADE: M3XKM). AF_12/2016 (BOTA-FORA)</t>
  </si>
  <si>
    <t xml:space="preserve"> 101136 </t>
  </si>
  <si>
    <t>ESCAVAÇÃO HORIZONTAL, INCLUINDO CARGA, DESCARGA E TRANSPORTE EM SOLO DE 1A CATEGORIA COM TRATOR DE ESTEIRAS (170HP/LÂMINA: 5,20M3) E CAMINHÃO BASCULANTE DE 10M3, DMT ATÉ 200M. AF_07/2020 (ATERRO)</t>
  </si>
  <si>
    <t xml:space="preserve"> 96386 </t>
  </si>
  <si>
    <t>EXECUÇÃO E COMPACTAÇÃO DE ATERRO COM SOLO PREDOMINANTEMENTE ARENOSO - EXCLUSIVE SOLO, ESCAVAÇÃO, CARGA E TRANSPORTE. AF_11/2019</t>
  </si>
  <si>
    <t xml:space="preserve"> 100577 </t>
  </si>
  <si>
    <t>REGULARIZAÇÃO E COMPACTAÇÃO DE SUBLEITO DE SOLO PREDOMINANTEMENTE ARENOSO. AF_11/2019</t>
  </si>
  <si>
    <t>CARGA, MANOBRA E DESCARGA DE SOLOS E MATERIAIS GRANULARES EM CAMINHÃO BASCULANTE 18 M³ - CARGA COM ESCAVADEIRA HIDRÁULICA (CAÇAMBA DE 1,20 M³ / 155 HP) E DESCARGA LIVRE (UNIDADE: M3). AF_07/2020 (BASE)</t>
  </si>
  <si>
    <t>TRANSPORTE COM CAMINHÃO BASCULANTE DE 10 M3, EM VIA URBANA PAVIMENTADA, DMT ATÉ 30 KM (UNIDADE: M3XKM). AF_12/2016 (BASE)</t>
  </si>
  <si>
    <t xml:space="preserve"> 96396 </t>
  </si>
  <si>
    <t>EXECUÇÃO E COMPACTAÇÃO DE BASE E OU SUB BASE PARA PAVIMENTAÇÃO DE BRITA GRADUADA SIMPLES - EXCLUSIVE CARGA E TRANSPORTE. AF_11/2019</t>
  </si>
  <si>
    <t xml:space="preserve"> 102330 </t>
  </si>
  <si>
    <t>TRANSPORTE COM CAMINHÃO TANQUE DE TRANSPORTE DE MATERIAL ASFÁLTICO DE 30000 L, EM VIA URBANA PAVIMENTADA, DMT ATÉ 30KM (UNIDADE: TXKM). AF_07/2020</t>
  </si>
  <si>
    <t xml:space="preserve"> 102331 </t>
  </si>
  <si>
    <t>TRANSPORTE COM CAMINHÃO TANQUE DE TRANSPORTE DE MATERIAL ASFÁLTICO DE 30000 L, EM VIA URBANA PAVIMENTADA, ADICIONAL PARA DMT EXCEDENTE A 30 KM (UNIDADE: TXKM). AF_07/2020</t>
  </si>
  <si>
    <t xml:space="preserve"> 93590 </t>
  </si>
  <si>
    <t>TRANSPORTE COM CAMINHÃO BASCULANTE DE 10 M³, EM VIA URBANA PAVIMENTADA, ADICIONAL PARA DMT EXCEDENTE A 30 KM (UNIDADE: M3XKM). AF_07/2020</t>
  </si>
  <si>
    <t>TENTO (ACABAMENTO DE LIMPA-RODAS), CONCRETO FCK=15 MPA, SEÇÃO 330 CM², MOLDADO NO LOCAL, INCLUSIVE ESCAVAÇÃO</t>
  </si>
  <si>
    <t xml:space="preserve"> COMP 2023 05 </t>
  </si>
  <si>
    <t>Meio fio de concreto - MFC 05 - fôrma de madeira. Ref. Cód. Sicro 2003377</t>
  </si>
  <si>
    <t xml:space="preserve"> 2.3 </t>
  </si>
  <si>
    <t>CALÇADA E ACESSIBILIDADE</t>
  </si>
  <si>
    <t xml:space="preserve"> 2.3.1 </t>
  </si>
  <si>
    <t xml:space="preserve"> LIMP.CALC </t>
  </si>
  <si>
    <t>LIMPEZA MECANIZADA DE TERRENO PARA IMPLANTAÇÃO DE CALÇADAS</t>
  </si>
  <si>
    <t xml:space="preserve"> 2.3.2 </t>
  </si>
  <si>
    <t xml:space="preserve"> 97084 </t>
  </si>
  <si>
    <t>COMPACTAÇÃO MECÂNICA DE SOLO PARA EXECUÇÃO DE CALÇADAS, COM COMPACTADOR DE SOLOS TIPO PLACA VIBRATÓRIA. AF_09/2017</t>
  </si>
  <si>
    <t xml:space="preserve"> 2.3.3 </t>
  </si>
  <si>
    <t xml:space="preserve"> 2.3.4 </t>
  </si>
  <si>
    <t xml:space="preserve"> 2.3.5 </t>
  </si>
  <si>
    <t xml:space="preserve"> 94991 </t>
  </si>
  <si>
    <t>EXECUÇÃO DE PASSEIO (CALÇADA) OU PISO DE CONCRETO COM CONCRETO MOLDADO IN LOCO, USINADO, ACABAMENTO CONVENCIONAL, NÃO ARMADO. AF_07/2016</t>
  </si>
  <si>
    <t xml:space="preserve"> 2.3.6 </t>
  </si>
  <si>
    <t xml:space="preserve"> IUP30008 </t>
  </si>
  <si>
    <t>PISO TATIL DIRECIONAL E DE ALERTA COM LADRILHO HIDRÁULICO DE 20X20X2,0 CM, EM CONCRETO SIMPLES FCK=35 MPA (NBR 9050 E COM O DECRETO 5296), INCLUINDO FORNECIMENTO E ASSENTAMENTO COM ARGAMASSA OU CIMENTO COLANTE SOBRE COXIM PREPARADO NO PISO RÚSTICO</t>
  </si>
  <si>
    <t xml:space="preserve"> 2.3.7 </t>
  </si>
  <si>
    <t xml:space="preserve"> 2.3.8 </t>
  </si>
  <si>
    <t xml:space="preserve"> 2.4 </t>
  </si>
  <si>
    <t>SINALIZAÇÃO VIÁRIA PERMANENTE</t>
  </si>
  <si>
    <t xml:space="preserve"> 2.4.1 </t>
  </si>
  <si>
    <t xml:space="preserve"> 102512 </t>
  </si>
  <si>
    <t>PINTURA DE EIXO VIÁRIO SOBRE ASFALTO COM TINTA RETRORREFLETIVA A BASE DE RESINA ACRÍLICA COM MICROESFERAS DE VIDRO, APLICAÇÃO MECÂNICA COM DEMARCADORA AUTOPROPELIDA. AF_05/2021</t>
  </si>
  <si>
    <t xml:space="preserve"> 2.4.2 </t>
  </si>
  <si>
    <t xml:space="preserve"> 102509 </t>
  </si>
  <si>
    <t>PINTURA DE FAIXA DE PEDESTRE OU ZEBRADA TINTA RETRORREFLETIVA A BASE DE RESINA ACRÍLICA COM MICROESFERAS DE VIDRO, E = 30 CM, APLICAÇÃO MANUAL. AF_05/2021</t>
  </si>
  <si>
    <t xml:space="preserve"> 2.4.3 </t>
  </si>
  <si>
    <t xml:space="preserve"> 102513 </t>
  </si>
  <si>
    <t>PINTURA DE SÍMBOLOS E TEXTOS COM TINTA ACRÍLICA, DEMARCAÇÃO COM FITA ADESIVA E APLICAÇÃO COM ROLO. AF_05/2021</t>
  </si>
  <si>
    <t xml:space="preserve"> 2.4.4 </t>
  </si>
  <si>
    <t xml:space="preserve"> COMP 2022 006 </t>
  </si>
  <si>
    <t>FORNECIMENTO E INSTALAÇÃO DE PLACA DE SINALIZAÇÃO VERTICAL (ATÉ 0,36 M²), INCLUINDO SUPORTE DE AÇO GALVANIZADO FIXADO EM BASE DE CONCRETO NÃO ESTRUTURAL</t>
  </si>
  <si>
    <t xml:space="preserve"> 2.4.5 </t>
  </si>
  <si>
    <t xml:space="preserve"> COMP 2020 038 </t>
  </si>
  <si>
    <t xml:space="preserve"> 2.4.6 </t>
  </si>
  <si>
    <t xml:space="preserve"> COMP 2020 41 </t>
  </si>
  <si>
    <t>CONFECÇÃO DE SUPORTE DE TUBO DE AÇO GALVANIZADO 2" E TRAVESSA PARA PLACA DE LOGRADOURO</t>
  </si>
  <si>
    <t xml:space="preserve"> 3.1 </t>
  </si>
  <si>
    <t xml:space="preserve"> 3.1.1 </t>
  </si>
  <si>
    <t xml:space="preserve"> 3.1.2 </t>
  </si>
  <si>
    <t xml:space="preserve"> 3.1.3 </t>
  </si>
  <si>
    <t xml:space="preserve"> 3.1.4 </t>
  </si>
  <si>
    <t xml:space="preserve"> 3.1.5 </t>
  </si>
  <si>
    <t xml:space="preserve"> 3.1.6 </t>
  </si>
  <si>
    <t xml:space="preserve"> 3.1.7 </t>
  </si>
  <si>
    <t xml:space="preserve"> 3.1.8 </t>
  </si>
  <si>
    <t xml:space="preserve"> 3.1.9 </t>
  </si>
  <si>
    <t xml:space="preserve"> 3.1.10 </t>
  </si>
  <si>
    <t xml:space="preserve"> 3.1.11 </t>
  </si>
  <si>
    <t xml:space="preserve"> 3.1.12 </t>
  </si>
  <si>
    <t xml:space="preserve"> 00007791 </t>
  </si>
  <si>
    <t>TUBO DE CONCRETO SIMPLES PARA AGUAS PLUVIAIS, CLASSE PS1, COM ENCAIXE PONTA E BOLSA, DIAMETRO NOMINAL DE 600 MM</t>
  </si>
  <si>
    <t xml:space="preserve"> 3.1.13 </t>
  </si>
  <si>
    <t xml:space="preserve"> 3.1.14 </t>
  </si>
  <si>
    <t xml:space="preserve"> 3.1.15 </t>
  </si>
  <si>
    <t xml:space="preserve"> 92811 </t>
  </si>
  <si>
    <t>ASSENTAMENTO DE TUBO DE CONCRETO PARA REDES COLETORAS DE ÁGUAS PLUVIAIS, DIÂMETRO DE 600 MM, JUNTA RÍGIDA, INSTALADO EM LOCAL COM BAIXO NÍVEL DE INTERFERÊNCIAS (NÃO INCLUI FORNECIMENTO). AF_12/2015</t>
  </si>
  <si>
    <t xml:space="preserve"> 3.1.16 </t>
  </si>
  <si>
    <t xml:space="preserve"> 3.1.17 </t>
  </si>
  <si>
    <t xml:space="preserve"> 3.1.18 </t>
  </si>
  <si>
    <t xml:space="preserve"> 3.1.19 </t>
  </si>
  <si>
    <t xml:space="preserve"> 3.1.20 </t>
  </si>
  <si>
    <t xml:space="preserve"> 3.1.21 </t>
  </si>
  <si>
    <t xml:space="preserve"> COMP 2023 00 </t>
  </si>
  <si>
    <t>PV-4 Poço de visita 2,32x5,42m, em alv. de tij. com. de 1 vez ass. e rev. int c/ arg. de cim./areia 1:3, last. de brita 12cm, berço 18cm em conc. 15MPa, laje de 12cm em conc. arm. 20MPa, incl. forma, escav. manual e reat. apiloado, conf. proj. tipo.</t>
  </si>
  <si>
    <t xml:space="preserve"> 3.1.22 </t>
  </si>
  <si>
    <t xml:space="preserve"> 3.1.23 </t>
  </si>
  <si>
    <t xml:space="preserve"> 3.1.24 </t>
  </si>
  <si>
    <t xml:space="preserve"> COMP 2023 01 </t>
  </si>
  <si>
    <t>BOCA DE LOBO DUPLA COMBINADA - CHAPEU E GRELHA</t>
  </si>
  <si>
    <t xml:space="preserve"> 3.1.25 </t>
  </si>
  <si>
    <t xml:space="preserve"> 102755 </t>
  </si>
  <si>
    <t>BOCA PARA BUEIRO DUPLO TUBULAR D = 100 CM EM CONCRETO, ALAS COM ESCONSIDADE DE 30°, INCLUINDO FÔRMAS E MATERIAIS. AF_07/2021</t>
  </si>
  <si>
    <t xml:space="preserve"> 3.1.26 </t>
  </si>
  <si>
    <t xml:space="preserve"> COMP 2023 02 </t>
  </si>
  <si>
    <t>ENTRADA PARA DESCIDA D AGUA - TIPO EDA-01</t>
  </si>
  <si>
    <t xml:space="preserve"> 3.1.27 </t>
  </si>
  <si>
    <t xml:space="preserve"> COMP 2023 03 </t>
  </si>
  <si>
    <t>DESCIDA D AGUA DE ATERRO TIPO RÁPIDO - DAR 02 (SICRO:2003391)</t>
  </si>
  <si>
    <t xml:space="preserve"> 3.1.28 </t>
  </si>
  <si>
    <t xml:space="preserve"> COMP 2023 04 </t>
  </si>
  <si>
    <t>DISSIPADOR DE ENERGIA - DEB 01</t>
  </si>
  <si>
    <t xml:space="preserve"> 3.1.29 </t>
  </si>
  <si>
    <t xml:space="preserve"> 3.1.30 </t>
  </si>
  <si>
    <t>ESCAVAÇÃO HORIZONTAL EM SOLO DE 1A CATEGORIA COM TRATOR DE ESTEIRAS (170HP/LÂMINA: 5,20M3). AF_07/2020 (BACIA DE DETENÇÃO)</t>
  </si>
  <si>
    <t xml:space="preserve"> 3.1.31 </t>
  </si>
  <si>
    <t>CARGA, MANOBRA E DESCARGA DE SOLOS E MATERIAIS GRANULARES EM CAMINHÃO BASCULANTE 18 M³ - CARGA COM ESCAVADEIRA HIDRÁULICA (CAÇAMBA DE 1,20 M³ / 155 HP) E DESCARGA LIVRE (UNIDADE: M3). AF_07/2020 (BACIA DE DETENÇÃO)</t>
  </si>
  <si>
    <t xml:space="preserve"> 3.1.32 </t>
  </si>
  <si>
    <t>TRANSPORTE COM CAMINHÃO BASCULANTE DE 10 M3, EM VIA URBANA PAVIMENTADA, DMT ATÉ 30 KM (UNIDADE: M3XKM). AF_12/2016 (BACIA DE DETENÇÃO)</t>
  </si>
  <si>
    <t xml:space="preserve"> 3.1.33 </t>
  </si>
  <si>
    <t>ESPALHAMENTO DE MATERIAL COM TRATOR DE ESTEIRAS. AF_11/2019 (BACIA DE DETENÇÃO)</t>
  </si>
  <si>
    <t xml:space="preserve"> 3.1.34 </t>
  </si>
  <si>
    <t xml:space="preserve"> COMP 2020 161 </t>
  </si>
  <si>
    <t>ENROCAMENTO COM PEDRA ARGAMASSADA TRAÇO 1:4 COM PEDRA DE MÃO (Ref. 73611 - 01/2020)</t>
  </si>
  <si>
    <t xml:space="preserve"> 3.1.35 </t>
  </si>
  <si>
    <t xml:space="preserve"> 3.2 </t>
  </si>
  <si>
    <t xml:space="preserve"> 3.2.1 </t>
  </si>
  <si>
    <t>ESCAVAÇÃO HORIZONTAL EM SOLO DE 1A CATEGORIA COM TRATOR DE ESTEIRAS (170HP/LÂMINA: 5,20M3). AF_07/2020</t>
  </si>
  <si>
    <t xml:space="preserve"> 3.2.2 </t>
  </si>
  <si>
    <t>ESCAVAÇÃO HORIZONTAL, INCLUINDO CARGA, DESCARGA E TRANSPORTE EM SOLO DE 1A CATEGORIA COM TRATOR DE ESTEIRAS (170HP/LÂMINA: 5,20M3) E CAMINHÃO BASCULANTE DE 10M3, DMT ATÉ 200M. AF_07/2020</t>
  </si>
  <si>
    <t xml:space="preserve"> 3.2.3 </t>
  </si>
  <si>
    <t xml:space="preserve"> 3.2.4 </t>
  </si>
  <si>
    <t xml:space="preserve"> 3.2.5 </t>
  </si>
  <si>
    <t xml:space="preserve"> 3.2.6 </t>
  </si>
  <si>
    <t xml:space="preserve"> 3.2.7 </t>
  </si>
  <si>
    <t xml:space="preserve"> 3.2.8 </t>
  </si>
  <si>
    <t xml:space="preserve"> 3.2.9 </t>
  </si>
  <si>
    <t xml:space="preserve"> 3.2.10 </t>
  </si>
  <si>
    <t xml:space="preserve"> 3.2.11 </t>
  </si>
  <si>
    <t xml:space="preserve"> 3.2.12 </t>
  </si>
  <si>
    <t xml:space="preserve"> 101768 </t>
  </si>
  <si>
    <t>EXECUÇÃO E COMPACTAÇÃO DE BASE E OU SUB BASE PARA PAVIMENTAÇÃO DE SOLO ESTABILIZADO GRANULOMETRICAMENTE SEM MISTURA DE SOLOS - EXCLUSIVE SOLO, ESCAVAÇÃO, CARGA E TRANSPORTE. AF_11/2019</t>
  </si>
  <si>
    <t xml:space="preserve"> 3.2.13 </t>
  </si>
  <si>
    <t xml:space="preserve"> 3.2.14 </t>
  </si>
  <si>
    <t xml:space="preserve"> 3.2.15 </t>
  </si>
  <si>
    <t xml:space="preserve"> 3.2.16 </t>
  </si>
  <si>
    <t xml:space="preserve"> 3.2.17 </t>
  </si>
  <si>
    <t xml:space="preserve"> 3.2.18 </t>
  </si>
  <si>
    <t xml:space="preserve"> 3.2.19 </t>
  </si>
  <si>
    <t xml:space="preserve"> 3.2.20 </t>
  </si>
  <si>
    <t xml:space="preserve"> 3.2.21 </t>
  </si>
  <si>
    <t xml:space="preserve"> 3.2.22 </t>
  </si>
  <si>
    <t xml:space="preserve"> COMP 2023 06 </t>
  </si>
  <si>
    <t>MEIO FIO DE CONCRETO-TIPO MFC 01 (SICRO:2003369)</t>
  </si>
  <si>
    <t xml:space="preserve"> 3.2.23 </t>
  </si>
  <si>
    <t xml:space="preserve"> 3.2.24 </t>
  </si>
  <si>
    <t xml:space="preserve"> 3.2.25 </t>
  </si>
  <si>
    <t xml:space="preserve"> COMP 2020 214 </t>
  </si>
  <si>
    <t>DEMOLICAO DE CONCRETO SIMPLES, DE FORMA MANUAL, SEM REAPROVEITAMENTO (Ref. SINAPI 73616-11/2017)</t>
  </si>
  <si>
    <t xml:space="preserve"> 3.2.26 </t>
  </si>
  <si>
    <t xml:space="preserve"> 97636 </t>
  </si>
  <si>
    <t>DEMOLIÇÃO PARCIAL DE PAVIMENTO ASFÁLTICO, DE FORMA MECANIZADA, SEM REAPROVEITAMENTO. AF_12/2017</t>
  </si>
  <si>
    <t xml:space="preserve"> 3.2.27 </t>
  </si>
  <si>
    <t xml:space="preserve"> 100982 </t>
  </si>
  <si>
    <t>CARGA, MANOBRA E DESCARGA DE ENTULHO EM CAMINHÃO BASCULANTE 10 M³ - CARGA COM ESCAVADEIRA HIDRÁULICA  (CAÇAMBA DE 0,80 M³ / 111 HP) E DESCARGA LIVRE (UNIDADE: M3). AF_07/2020</t>
  </si>
  <si>
    <t xml:space="preserve"> 3.2.28 </t>
  </si>
  <si>
    <t xml:space="preserve"> 3.3 </t>
  </si>
  <si>
    <t>SINALIZAÇÃO VIÁRIA</t>
  </si>
  <si>
    <t xml:space="preserve"> 3.3.1 </t>
  </si>
  <si>
    <t xml:space="preserve"> 3.3.2 </t>
  </si>
  <si>
    <t xml:space="preserve"> 3.3.3 </t>
  </si>
  <si>
    <t xml:space="preserve"> 3.3.4 </t>
  </si>
  <si>
    <t xml:space="preserve"> 3.3.5 </t>
  </si>
  <si>
    <t xml:space="preserve"> COMP 2023 07 </t>
  </si>
  <si>
    <t>Placa de sinalização vertical totalmente refletiva (&gt;0,36 m²), incluído fornecimento e instalação de um poste de aço galvanizado e fixado em base de concreto não estrutural.</t>
  </si>
  <si>
    <t xml:space="preserve"> 4.1 </t>
  </si>
  <si>
    <t>ENGENHEIRO CIVIL DE OBRA JUNIOR COM ENCARGOS COMPLEMENTARES</t>
  </si>
  <si>
    <t xml:space="preserve"> 4.2 </t>
  </si>
  <si>
    <t>MESTRE DE OBRAS COM ENCARGOS COMPLEMENTARES</t>
  </si>
  <si>
    <t xml:space="preserve"> 4.3 </t>
  </si>
  <si>
    <t xml:space="preserve"> 4.4 </t>
  </si>
  <si>
    <t>TOPOGRAFO COM ENCARGOS COMPLEMENTARES</t>
  </si>
  <si>
    <t xml:space="preserve"> 4.5 </t>
  </si>
  <si>
    <t>AUXILIAR DE TOPÓGRAFO COM ENCARGOS COMPLEMENTARES</t>
  </si>
  <si>
    <t xml:space="preserve"> 4.6 </t>
  </si>
  <si>
    <t>TÉCNICO DE LABORATÓRIO COM ENCARGOS COMPLEMENTARES</t>
  </si>
  <si>
    <t xml:space="preserve"> 4.7 </t>
  </si>
  <si>
    <t>AUXILIAR DE LABORATÓRIO COM ENCARGOS COMPLEMENTARES</t>
  </si>
  <si>
    <t>un</t>
  </si>
  <si>
    <t>M3XKM</t>
  </si>
  <si>
    <t>M</t>
  </si>
  <si>
    <t>TXKM</t>
  </si>
  <si>
    <t>UN</t>
  </si>
  <si>
    <t>H</t>
  </si>
  <si>
    <t>Composição</t>
  </si>
  <si>
    <t>CANT - CANTEIRO DE OBRAS</t>
  </si>
  <si>
    <t>Composição Auxiliar</t>
  </si>
  <si>
    <t xml:space="preserve"> 88262 </t>
  </si>
  <si>
    <t>CARPINTEIRO DE FORMAS COM ENCARGOS COMPLEMENTARES</t>
  </si>
  <si>
    <t>SEDI - SERVIÇOS DIVERSOS</t>
  </si>
  <si>
    <t xml:space="preserve"> 88316 </t>
  </si>
  <si>
    <t>SERVENTE COM ENCARGOS COMPLEMENTARES</t>
  </si>
  <si>
    <t xml:space="preserve"> 94962 </t>
  </si>
  <si>
    <t>CONCRETO MAGRO PARA LASTRO, TRAÇO 1:4,5:4,5 (CIMENTO/ AREIA MÉDIA/ BRITA 1)  - PREPARO MECÂNICO COM BETONEIRA 400 L. AF_07/2016</t>
  </si>
  <si>
    <t>FUES - FUNDAÇÕES E ESTRUTURAS</t>
  </si>
  <si>
    <t>Insumo</t>
  </si>
  <si>
    <t xml:space="preserve"> 00004417 </t>
  </si>
  <si>
    <t>SARRAFO DE MADEIRA NAO APARELHADA *2,5 X 7* CM, MACARANDUBA, ANGELIM OU EQUIVALENTE DA REGIAO</t>
  </si>
  <si>
    <t>Material</t>
  </si>
  <si>
    <t xml:space="preserve"> 00004491 </t>
  </si>
  <si>
    <t>PECA DE MADEIRA NATIVA / REGIONAL 7,5 X 7,5CM (3X3) NAO APARELHADA (P/FORMA)</t>
  </si>
  <si>
    <t xml:space="preserve"> 00004813 </t>
  </si>
  <si>
    <t>PLACA DE OBRA (PARA CONSTRUCAO CIVIL) EM CHAPA GALVANIZADA *N. 22*, DE *2,0 X 1,125* M</t>
  </si>
  <si>
    <t xml:space="preserve"> 00005075 </t>
  </si>
  <si>
    <t>PREGO DE ACO POLIDO COM CABECA 18 X 30 (2 3/4 X 10)</t>
  </si>
  <si>
    <t>KG</t>
  </si>
  <si>
    <t>MO sem LS =&gt;</t>
  </si>
  <si>
    <t>LS =&gt;</t>
  </si>
  <si>
    <t>MO com LS =&gt;</t>
  </si>
  <si>
    <t>Valor do BDI =&gt;</t>
  </si>
  <si>
    <t>Valor com BDI =&gt;</t>
  </si>
  <si>
    <t>INEL - INSTALAÇÃO ELÉTRICA/ELETRIFICAÇÃO E ILUMINAÇÃO EXTERNA</t>
  </si>
  <si>
    <t xml:space="preserve"> 88264 </t>
  </si>
  <si>
    <t>ELETRICISTA COM ENCARGOS COMPLEMENTARES</t>
  </si>
  <si>
    <t xml:space="preserve"> 00000406 </t>
  </si>
  <si>
    <t>FITA ACO INOX PARA CINTAR POSTE, L = 19 MM, E = 0,5 MM (ROLO DE 30M)</t>
  </si>
  <si>
    <t xml:space="preserve"> 00000420 </t>
  </si>
  <si>
    <t>CINTA CIRCULAR EM ACO GALVANIZADO DE 150 MM DE DIAMETRO PARA FIXACAO DE CAIXA MEDICAO</t>
  </si>
  <si>
    <t xml:space="preserve"> 00000857 </t>
  </si>
  <si>
    <t>CABO DE COBRE NU 16 MM2 MEIO-DURO</t>
  </si>
  <si>
    <t xml:space="preserve"> 00000937 </t>
  </si>
  <si>
    <t>FIO DE COBRE, SOLIDO, CLASSE 1, ISOLACAO EM PVC/A, ANTICHAMA BWF-B, 450/750V, SECAO NOMINAL 10 MM2</t>
  </si>
  <si>
    <t xml:space="preserve"> 00001062 </t>
  </si>
  <si>
    <t>CAIXA INTERNA DE MEDICAO PARA 1 MEDIDOR TRIFASICO, COM VISOR, EM CHAPA DE ACO 18 USG (PADRAO DA CONCESSIONARIA LOCAL)</t>
  </si>
  <si>
    <t xml:space="preserve"> 00001096 </t>
  </si>
  <si>
    <t>ARMACAO VERTICAL COM HASTE E CONTRA-PINO, EM CHAPA DE ACO GALVANIZADO 3/16", COM 4 ESTRIBOS E 4 ISOLADORES</t>
  </si>
  <si>
    <t xml:space="preserve"> 00001539 </t>
  </si>
  <si>
    <t>CONECTOR METALICO TIPO PARAFUSO FENDIDO (SPLIT BOLT), PARA CABOS ATE 16 MM2</t>
  </si>
  <si>
    <t xml:space="preserve"> 00001892 </t>
  </si>
  <si>
    <t>LUVA EM PVC RIGIDO ROSCAVEL, DE 1", PARA ELETRODUTO</t>
  </si>
  <si>
    <t xml:space="preserve"> 00002392 </t>
  </si>
  <si>
    <t>DISJUNTOR TIPO NEMA, TRIPOLAR 10  ATE  50A, TENSAO MAXIMA DE 415 V</t>
  </si>
  <si>
    <t xml:space="preserve"> 00002685 </t>
  </si>
  <si>
    <t>ELETRODUTO DE PVC RIGIDO ROSCAVEL DE 1 ", SEM LUVA</t>
  </si>
  <si>
    <t xml:space="preserve"> 00002731 </t>
  </si>
  <si>
    <t>MADEIRA ROLICA TRATADA, EUCALIPTO OU EQUIVALENTE DA REGIAO, H = 12 M, D = 20 A 24 CM (PARA POSTE)</t>
  </si>
  <si>
    <t xml:space="preserve"> 00003379 </t>
  </si>
  <si>
    <t>HASTE DE ATERRAMENTO EM ACO COM 3,00 M DE COMPRIMENTO E DN = 5/8", REVESTIDA COM BAIXA CAMADA DE COBRE, SEM CONECTOR</t>
  </si>
  <si>
    <t xml:space="preserve"> 00004346 </t>
  </si>
  <si>
    <t>PARAFUSO DE FERRO POLIDO, SEXTAVADO, COM ROSCA PARCIAL, DIAMETRO 5/8", COMPRIMENTO 6", COM PORCA E ARRUELA DE PRESSAO MEDIA</t>
  </si>
  <si>
    <t xml:space="preserve"> 00011267 </t>
  </si>
  <si>
    <t>ARRUELA REDONDA DE LATAO, DIAMETRO EXTERNO = 34 MM, ESPESSURA = 2,5 MM, DIAMETRO DO FURO = 17 MM</t>
  </si>
  <si>
    <t xml:space="preserve"> 00012034 </t>
  </si>
  <si>
    <t>CURVA 180 GRAUS, DE PVC RIGIDO ROSCAVEL, DE 3/4", PARA ELETRODUTO</t>
  </si>
  <si>
    <t xml:space="preserve"> 00039176 </t>
  </si>
  <si>
    <t>BUCHA EM ALUMINIO, COM ROSCA, DE 1", PARA ELETRODUTO</t>
  </si>
  <si>
    <t xml:space="preserve"> 00039210 </t>
  </si>
  <si>
    <t>ARRUELA EM ALUMINIO, COM ROSCA, DE 1", PARA ELETRODUTO</t>
  </si>
  <si>
    <t xml:space="preserve"> 95676 </t>
  </si>
  <si>
    <t>CAIXA EM CONCRETO PRÉ-MOLDADO PARA ABRIGO DE HIDRÔMETRO COM DN 20 (½)  FORNECIMENTO E INSTALAÇÃO. AF_11/2016</t>
  </si>
  <si>
    <t>INHI - INSTALAÇÕES HIDROS SANITÁRIAS</t>
  </si>
  <si>
    <t xml:space="preserve"> 95674 </t>
  </si>
  <si>
    <t>HIDRÔMETRO DN 20 (½), 3,0 M³/H  FORNECIMENTO E INSTALAÇÃO. AF_11/2016</t>
  </si>
  <si>
    <t xml:space="preserve"> 95635 </t>
  </si>
  <si>
    <t>KIT CAVALETE PARA MEDIÇÃO DE ÁGUA - ENTRADA PRINCIPAL, EM PVC SOLDÁVEL DN 25 (¾")   FORNECIMENTO E INSTALAÇÃO (EXCLUSIVE HIDRÔMETRO). AF_11/2016</t>
  </si>
  <si>
    <t>LIPR - LIGAÇÕES PREDIAIS ÁGUA/ESGOTO/ENERGIA/TELEFONE</t>
  </si>
  <si>
    <t xml:space="preserve"> COMP 2020 056 </t>
  </si>
  <si>
    <t>LIGACAO DA REDE 75MM AO RAMAL PREDIAL 1/2"</t>
  </si>
  <si>
    <t xml:space="preserve"> 73467 </t>
  </si>
  <si>
    <t>CAMINHÃO TOCO, PBT 14.300 KG, CARGA ÚTIL MÁX. 9.710 KG, DIST. ENTRE EIXOS 3,56 M, POTÊNCIA 185 CV, INCLUSIVE CARROCERIA FIXA ABERTA DE MADEIRA P/ TRANSPORTE GERAL DE CARGA SECA, DIMEN. APROX. 2,50 X 6,50 X 0,50 M - CHP DIURNO. AF_06/2014</t>
  </si>
  <si>
    <t>CHOR - CUSTOS HORÁRIOS DE MÁQUINAS E EQUIPAMENTOS</t>
  </si>
  <si>
    <t>CHP</t>
  </si>
  <si>
    <t xml:space="preserve"> 00004433 </t>
  </si>
  <si>
    <t>PECA DE MADEIRA NAO APARELHADA *7,5 X 7,5* CM (3 X 3 ") MACARANDUBA, ANGELIM OU EQUIVALENTE DA REGIAO</t>
  </si>
  <si>
    <t>SERP - SERVIÇOS PRELIMINARES</t>
  </si>
  <si>
    <t xml:space="preserve"> 00000345 </t>
  </si>
  <si>
    <t>ARAME GALVANIZADO 18 BWG, D = 1,24MM (0,009 KG/M)</t>
  </si>
  <si>
    <t xml:space="preserve"> 00007170 </t>
  </si>
  <si>
    <t>TELA FACHADEIRA EM POLIETILENO, ROLO DE 3 X 100 M (L X C), COR BRANCA, SEM LOGOMARCA - PARA PROTECAO DE OBRAS</t>
  </si>
  <si>
    <t xml:space="preserve"> 00000939 </t>
  </si>
  <si>
    <t>FIO DE COBRE, SOLIDO, CLASSE 1, ISOLACAO EM PVC/A, ANTICHAMA BWF-B, 450/750V, SECAO NOMINAL 2,5 MM2</t>
  </si>
  <si>
    <t xml:space="preserve"> 00002705 </t>
  </si>
  <si>
    <t>ENERGIA ELETRICA ATE 2000 KWH INDUSTRIAL, SEM DEMANDA</t>
  </si>
  <si>
    <t>KW/H</t>
  </si>
  <si>
    <t xml:space="preserve"> 00003753 </t>
  </si>
  <si>
    <t>LAMPADA FLUORESCENTE TUBULAR T10, DE 20 OU 40 W, BIVOLT</t>
  </si>
  <si>
    <t xml:space="preserve"> 00004815 </t>
  </si>
  <si>
    <t>BALDE VERMELHO PARA SINALIZACAO DE VIAS</t>
  </si>
  <si>
    <t xml:space="preserve"> 00012294 </t>
  </si>
  <si>
    <t>SOQUETE DE PORCELANA BASE E27, PARA USO AO TEMPO, PARA LAMPADAS</t>
  </si>
  <si>
    <t xml:space="preserve"> 92916 </t>
  </si>
  <si>
    <t>ARMAÇÃO DE ESTRUTURAS DE CONCRETO ARMADO, EXCETO VIGAS, PILARES, LAJES E FUNDAÇÕES, UTILIZANDO AÇO CA-50 DE 6,3 MM - MONTAGEM. AF_12/2015</t>
  </si>
  <si>
    <t xml:space="preserve"> 92915 </t>
  </si>
  <si>
    <t>ARMAÇÃO DE ESTRUTURAS DE CONCRETO ARMADO, EXCETO VIGAS, PILARES, LAJES E FUNDAÇÕES, UTILIZANDO AÇO CA-60 DE 5,0 MM - MONTAGEM. AF_12/2015</t>
  </si>
  <si>
    <t xml:space="preserve"> 87878 </t>
  </si>
  <si>
    <t>CHAPISCO APLICADO EM ALVENARIAS E ESTRUTURAS DE CONCRETO INTERNAS, COM COLHER DE PEDREIRO.  ARGAMASSA TRAÇO 1:3 COM PREPARO MANUAL. AF_06/2014</t>
  </si>
  <si>
    <t>REVE - REVESTIMENTO E TRATAMENTO DE SUPERFÍCIES</t>
  </si>
  <si>
    <t xml:space="preserve"> 94963 </t>
  </si>
  <si>
    <t>CONCRETO FCK = 15MPA, TRAÇO 1:3,4:3,5 (CIMENTO/ AREIA MÉDIA/ BRITA 1)  - PREPARO MECÂNICO COM BETONEIRA 400 L. AF_07/2016</t>
  </si>
  <si>
    <t xml:space="preserve"> 94964 </t>
  </si>
  <si>
    <t>CONCRETO FCK = 20MPA, TRAÇO 1:2,7:3 (CIMENTO/ AREIA MÉDIA/ BRITA 1)  - PREPARO MECÂNICO COM BETONEIRA 400 L. AF_07/2016</t>
  </si>
  <si>
    <t xml:space="preserve"> 5928 </t>
  </si>
  <si>
    <t>GUINDAUTO HIDRÁULICO, CAPACIDADE MÁXIMA DE CARGA 6200 KG, MOMENTO MÁXIMO DE CARGA 11,7 TM, ALCANCE MÁXIMO HORIZONTAL 9,70 M, INCLUSIVE CAMINHÃO TOCO PBT 16.000 KG, POTÊNCIA DE 189 CV - CHP DIURNO. AF_06/2014</t>
  </si>
  <si>
    <t xml:space="preserve"> 93382 </t>
  </si>
  <si>
    <t>REATERRO MANUAL DE VALAS COM COMPACTAÇÃO MECANIZADA. AF_04/2016</t>
  </si>
  <si>
    <t>MOVT - MOVIMENTO DE TERRA</t>
  </si>
  <si>
    <t xml:space="preserve"> 93358 </t>
  </si>
  <si>
    <t>ESCAVAÇÃO MANUAL DE VALAS. AF_03/2016</t>
  </si>
  <si>
    <t xml:space="preserve"> 101159 </t>
  </si>
  <si>
    <t>ALVENARIA DE VEDAÇÃO DE BLOCOS CERÂMICOS MACIÇOS DE 5X10X20CM (ESPESSURA 10CM) E ARGAMASSA DE ASSENTAMENTO COM PREPARO EM BETONEIRA. AF_05/2020</t>
  </si>
  <si>
    <t>PARE - PAREDES/PAINEIS</t>
  </si>
  <si>
    <t xml:space="preserve"> 101621 </t>
  </si>
  <si>
    <t>PREPARO DE FUNDO DE VALA COM LARGURA MAIOR OU IGUAL A 1,5 M E MENOR QUE 2,5 M, COM CAMADA DE BRITA, LANÇAMENTO MANUAL. AF_08/2020</t>
  </si>
  <si>
    <t xml:space="preserve"> 96542 </t>
  </si>
  <si>
    <t>FABRICAÇÃO, MONTAGEM E DESMONTAGEM DE FÔRMA PARA VIGA BALDRAME, EM CHAPA DE MADEIRA COMPENSADA RESINADA, E=17 MM, 4 UTILIZAÇÕES. AF_06/2017</t>
  </si>
  <si>
    <t xml:space="preserve"> 103670 </t>
  </si>
  <si>
    <t>LANÇAMENTO COM USO DE BALDES, ADENSAMENTO E ACABAMENTO DE CONCRETO EM ESTRUTURAS. AF_02/2022</t>
  </si>
  <si>
    <t>DROP - DRENAGEM/OBRAS DE CONTENÇÃO / POÇOS DE VISITA E CAIXAS</t>
  </si>
  <si>
    <t xml:space="preserve"> 92431 </t>
  </si>
  <si>
    <t>MONTAGEM E DESMONTAGEM DE FÔRMA DE PILARES RETANGULARES E ESTRUTURAS SIMILARES, PÉ-DIREITO SIMPLES, EM CHAPA DE MADEIRA COMPENSADA PLASTIFICADA, 10 UTILIZAÇÕES. AF_09/2020</t>
  </si>
  <si>
    <t xml:space="preserve"> 00011245 </t>
  </si>
  <si>
    <t>GRELHA FOFO SIMPLES COM REQUADRO, CARGA MAXIMA  12,5 T, *300 X 1000* MM, E= *15* MM, AREA ESTACIONAMENTO CARRO PASSEIO</t>
  </si>
  <si>
    <t>PAVI - PAVIMENTAÇÃO</t>
  </si>
  <si>
    <t xml:space="preserve"> 91486 </t>
  </si>
  <si>
    <t>ESPARGIDOR DE ASFALTO PRESSURIZADO, TANQUE 6 M3 COM ISOLAÇÃO TÉRMICA, AQUECIDO COM 2 MAÇARICOS, COM BARRA ESPARGIDORA 3,60 M, MONTADO SOBRE CAMINHÃO  TOCO, PBT 14.300 KG, POTÊNCIA 185 CV - CHI DIURNO. AF_08/2015</t>
  </si>
  <si>
    <t>CHI</t>
  </si>
  <si>
    <t xml:space="preserve"> 83362 </t>
  </si>
  <si>
    <t>ESPARGIDOR DE ASFALTO PRESSURIZADO, TANQUE 6 M3 COM ISOLAÇÃO TÉRMICA, AQUECIDO COM 2 MAÇARICOS, COM BARRA ESPARGIDORA 3,60 M, MONTADO SOBRE CAMINHÃO  TOCO, PBT 14.300 KG, POTÊNCIA 185 CV - CHP DIURNO. AF_08/2015</t>
  </si>
  <si>
    <t xml:space="preserve"> 89036 </t>
  </si>
  <si>
    <t>TRATOR DE PNEUS, POTÊNCIA 85 CV, TRAÇÃO 4X4, PESO COM LASTRO DE 4.675 KG - CHI DIURNO. AF_06/2014</t>
  </si>
  <si>
    <t xml:space="preserve"> 89035 </t>
  </si>
  <si>
    <t>TRATOR DE PNEUS, POTÊNCIA 85 CV, TRAÇÃO 4X4, PESO COM LASTRO DE 4.675 KG - CHP DIURNO. AF_06/2014</t>
  </si>
  <si>
    <t xml:space="preserve"> 5839 </t>
  </si>
  <si>
    <t>VASSOURA MECÂNICA REBOCÁVEL COM ESCOVA CILÍNDRICA, LARGURA ÚTIL DE VARRIMENTO DE 2,44 M - CHP DIURNO. AF_06/2014</t>
  </si>
  <si>
    <t xml:space="preserve"> IUP0007 </t>
  </si>
  <si>
    <t>Emulsão asfáltica a base d'água para imprimação.</t>
  </si>
  <si>
    <t>t</t>
  </si>
  <si>
    <t xml:space="preserve"> 88309 </t>
  </si>
  <si>
    <t>PEDREIRO COM ENCARGOS COMPLEMENTARES</t>
  </si>
  <si>
    <t xml:space="preserve"> 88631 </t>
  </si>
  <si>
    <t>ARGAMASSA TRAÇO 1:4 (EM VOLUME DE CIMENTO E AREIA MÉDIA ÚMIDA), PREPARO MANUAL. AF_08/2019</t>
  </si>
  <si>
    <t xml:space="preserve"> 102498 </t>
  </si>
  <si>
    <t>PINTURA DE MEIO-FIO COM TINTA BRANCA A BASE DE CAL (CAIAÇÃO). AF_05/2021</t>
  </si>
  <si>
    <t>PINT - PINTURAS</t>
  </si>
  <si>
    <t xml:space="preserve"> IUD20080 </t>
  </si>
  <si>
    <t>Escavação manual em solo-prof. até 1,50 m</t>
  </si>
  <si>
    <t xml:space="preserve"> IUP30002 </t>
  </si>
  <si>
    <t>Recorte mecânico de pavimento asfáltico ou piso de concreto, com serra de disco diamantado para piso/asfalto</t>
  </si>
  <si>
    <t xml:space="preserve"> IUD30074 </t>
  </si>
  <si>
    <t>Escavação manual em solo-prof. até 2,0 m</t>
  </si>
  <si>
    <t xml:space="preserve"> 92270 </t>
  </si>
  <si>
    <t>FABRICAÇÃO DE FÔRMA PARA VIGAS, COM MADEIRA SERRADA, E = 25 MM. AF_09/2020</t>
  </si>
  <si>
    <t>Selo Asfáltico de microvala de pavimento</t>
  </si>
  <si>
    <t xml:space="preserve"> 90693 </t>
  </si>
  <si>
    <t>MINICARREGADEIRA SOBRE RODAS, POTÊNCIA LÍQUIDA DE 47 HP, CAPACIDADE NOMINAL DE OPERAÇÃO DE 646 KG - CHI DIURNO. AF_06/2015</t>
  </si>
  <si>
    <t xml:space="preserve"> 90692 </t>
  </si>
  <si>
    <t>MINICARREGADEIRA SOBRE RODAS, POTÊNCIA LÍQUIDA DE 47 HP, CAPACIDADE NOMINAL DE OPERAÇÃO DE 646 KG - CHP DIURNO. AF_06/2015</t>
  </si>
  <si>
    <t xml:space="preserve"> 00001381 </t>
  </si>
  <si>
    <t>ARGAMASSA COLANTE AC I PARA CERAMICAS</t>
  </si>
  <si>
    <t xml:space="preserve"> 00038135 </t>
  </si>
  <si>
    <t>LADRILHO HIDRAULICO, *20 X 20* CM, E= 2 CM, TATIL ALERTA OU DIRECIONAL, AMARELO</t>
  </si>
  <si>
    <t>Equipamento</t>
  </si>
  <si>
    <t xml:space="preserve"> IUC10003 </t>
  </si>
  <si>
    <t>Concreto não estrutural, consumo 210kg/m3, preparo com betoneira, sem lançamento</t>
  </si>
  <si>
    <t xml:space="preserve"> 00034723 </t>
  </si>
  <si>
    <t>PLACA DE SINALIZACAO EM CHAPA DE ACO NUM 16 COM PINTURA REFLETIVA</t>
  </si>
  <si>
    <t xml:space="preserve"> 00007696 </t>
  </si>
  <si>
    <t>TUBO ACO GALVANIZADO COM COSTURA, CLASSE MEDIA, DN 2", E = *3,65* MM, PESO *5,10* KG/M (NBR 5580)</t>
  </si>
  <si>
    <t xml:space="preserve"> 00004330 </t>
  </si>
  <si>
    <t>PORCA ZINCADA, SEXTAVADA, DIAMETRO 5/16"</t>
  </si>
  <si>
    <t xml:space="preserve"> 00013348 </t>
  </si>
  <si>
    <t>ARRUELA  EM ACO GALVANIZADO, DIAMETRO EXTERNO = 35MM, ESPESSURA = 3MM, DIAMETRO DO FURO= 18MM</t>
  </si>
  <si>
    <t xml:space="preserve"> 00000436 </t>
  </si>
  <si>
    <t>PARAFUSO FRANCES M16 EM ACO GALVANIZADO, COMPRIMENTO = 150 MM, DIAMETRO = 16 MM, CABECA ABAULADA</t>
  </si>
  <si>
    <t xml:space="preserve"> 00011950 </t>
  </si>
  <si>
    <t>BUCHA DE NYLON SEM ABA S6, COM PARAFUSO DE 4,20 X 40 MM EM ACO ZINCADO COM ROSCA SOBERBA, CABECA CHATA E FENDA PHILLIPS</t>
  </si>
  <si>
    <t xml:space="preserve"> 00013521 </t>
  </si>
  <si>
    <t>PLACA DE ACO ESMALTADA PARA  IDENTIFICACAO DE RUA, *45 CM X 20* CM</t>
  </si>
  <si>
    <t xml:space="preserve"> 88628 </t>
  </si>
  <si>
    <t>ARGAMASSA TRAÇO 1:3 (EM VOLUME DE CIMENTO E AREIA MÉDIA ÚMIDA), PREPARO MECÂNICO COM BETONEIRA 400 L. AF_08/2019</t>
  </si>
  <si>
    <t xml:space="preserve"> 00011962 </t>
  </si>
  <si>
    <t>PARAFUSO ZINCADO, SEXTAVADO, COM ROSCA INTEIRA, DIAMETRO 1/4", COMPRIMENTO 1/2"</t>
  </si>
  <si>
    <t xml:space="preserve"> 00039997 </t>
  </si>
  <si>
    <t>PORCA ZINCADA, SEXTAVADA, DIAMETRO 1/4"</t>
  </si>
  <si>
    <t xml:space="preserve"> 00039211 </t>
  </si>
  <si>
    <t>ARRUELA EM ALUMINIO, COM ROSCA, DE  1 1/4", PARA ELETRODUTO</t>
  </si>
  <si>
    <t xml:space="preserve"> 00000555 </t>
  </si>
  <si>
    <t>BARRA DE FERRO CHATO, RETANGULAR, 25,4 MM X 6,35 MM (L X E), 1,2265 KG/M</t>
  </si>
  <si>
    <t xml:space="preserve"> 00039208 </t>
  </si>
  <si>
    <t>ARRUELA EM ALUMINIO, COM ROSCA, DE 1/2", PARA ELETRODUTO</t>
  </si>
  <si>
    <t xml:space="preserve"> 87313 </t>
  </si>
  <si>
    <t>ARGAMASSA TRAÇO 1:3 (EM VOLUME DE CIMENTO E AREIA GROSSA ÚMIDA) PARA CHAPISCO CONVENCIONAL, PREPARO MECÂNICO COM BETONEIRA 400 L. AF_08/2019</t>
  </si>
  <si>
    <t xml:space="preserve"> 94970 </t>
  </si>
  <si>
    <t>CONCRETO FCK = 20MPA, TRAÇO 1:2,7:3 (CIMENTO/ AREIA MÉDIA/ BRITA 1)  - PREPARO MECÂNICO COM BETONEIRA 600 L. AF_07/2016</t>
  </si>
  <si>
    <t xml:space="preserve"> 92269 </t>
  </si>
  <si>
    <t>FABRICAÇÃO DE FÔRMA PARA PILARES E ESTRUTURAS SIMILARES, EM MADEIRA SERRADA, E=25 MM. AF_09/2020</t>
  </si>
  <si>
    <t xml:space="preserve"> 94965 </t>
  </si>
  <si>
    <t>CONCRETO FCK = 25MPA, TRAÇO 1:2,3:2,7 (EM MASSA SECA DE CIMENTO/ AREIA MÉDIA/ BRITA 1) - PREPARO MECÂNICO COM BETONEIRA 400 L. AF_05/2021</t>
  </si>
  <si>
    <t xml:space="preserve"> 97948 </t>
  </si>
  <si>
    <t>CAIXA COM GRELHA DUPLA RETANGULAR, EM ALVENARIA COM TIJOLOS CERÂMICOS MACIÇOS, DIMENSÕES INTERNAS: 0,5X2,2X1 M. AF_12/2020</t>
  </si>
  <si>
    <t xml:space="preserve"> 96543 </t>
  </si>
  <si>
    <t>ARMAÇÃO DE BLOCO, VIGA BALDRAME E SAPATA UTILIZANDO AÇO CA-60 DE 5 MM - MONTAGEM. AF_06/2017</t>
  </si>
  <si>
    <t xml:space="preserve"> 00043386 </t>
  </si>
  <si>
    <t>MEIO-FIO OU GUIA DE CONCRETO PRE-MOLDADO, TIPO CHAPEU PARA BOCA DE LOBO,  DIMENSOES *1,20* X 0,15 X 0,30 M</t>
  </si>
  <si>
    <t xml:space="preserve"> 00004730 </t>
  </si>
  <si>
    <t>PEDRA DE MAO OU PEDRA RACHAO PARA ARRIMO/FUNDACAO (POSTO PEDREIRA/FORNECEDOR, SEM FRETE)</t>
  </si>
  <si>
    <t xml:space="preserve"> 88242 </t>
  </si>
  <si>
    <t>AJUDANTE DE PEDREIRO COM ENCARGOS COMPLEMENTARES</t>
  </si>
  <si>
    <t xml:space="preserve"> 96536 </t>
  </si>
  <si>
    <t>FABRICAÇÃO, MONTAGEM E DESMONTAGEM DE FÔRMA PARA VIGA BALDRAME, EM MADEIRA SERRADA, E=25 MM, 4 UTILIZAÇÕES. AF_06/2017</t>
  </si>
  <si>
    <t>Composições Auxiliares</t>
  </si>
  <si>
    <t xml:space="preserve"> 88830 </t>
  </si>
  <si>
    <t>BETONEIRA CAPACIDADE NOMINAL DE 400 L, CAPACIDADE DE MISTURA 280 L, MOTOR ELÉTRICO TRIFÁSICO POTÊNCIA DE 2 CV, SEM CARREGADOR - CHP DIURNO. AF_10/2014</t>
  </si>
  <si>
    <t xml:space="preserve"> 00000367 </t>
  </si>
  <si>
    <t>AREIA GROSSA - POSTO JAZIDA/FORNECEDOR (RETIRADO NA JAZIDA, SEM TRANSPORTE)</t>
  </si>
  <si>
    <t xml:space="preserve"> 00001379 </t>
  </si>
  <si>
    <t>CIMENTO PORTLAND COMPOSTO CP II-32</t>
  </si>
  <si>
    <t xml:space="preserve"> 00004718 </t>
  </si>
  <si>
    <t>PEDRA BRITADA N. 2 (19 A 38 MM) POSTO PEDREIRA/FORNECEDOR, SEM FRETE</t>
  </si>
  <si>
    <t xml:space="preserve"> 88267 </t>
  </si>
  <si>
    <t>ENCANADOR OU BOMBEIRO HIDRÁULICO COM ENCARGOS COMPLEMENTARES</t>
  </si>
  <si>
    <t xml:space="preserve"> 00001413 </t>
  </si>
  <si>
    <t>COLAR TOMADA PVC, COM TRAVAS, SAIDA COM ROSCA, DE 75 MM X 1/2" OU 75 MM X 3/4", PARA LIGACAO PREDIAL DE AGUA</t>
  </si>
  <si>
    <t xml:space="preserve"> 00003148 </t>
  </si>
  <si>
    <t>FITA VEDA ROSCA EM ROLOS DE 18 MM X 50 M (L X C)</t>
  </si>
  <si>
    <t xml:space="preserve"> 00003907 </t>
  </si>
  <si>
    <t>LUVA DE REDUCAO ROSCAVEL, PVC, 1" X 3/4", PARA AGUA FRIA PREDIAL</t>
  </si>
  <si>
    <t xml:space="preserve"> 00006029 </t>
  </si>
  <si>
    <t>REGISTRO DE ESFERA PVC, COM CABECA QUADRADA, COM ROSCA EXTERNA, 1/2"</t>
  </si>
  <si>
    <t xml:space="preserve"> 00009813 </t>
  </si>
  <si>
    <t>TUBO DE POLIETILENO DE ALTA DENSIDADE (PEAD), PE-80, DE = 20 MM X 2,3 MM DE PAREDE, PARA LIGACAO DE AGUA PREDIAL (NBR 15561)</t>
  </si>
  <si>
    <t xml:space="preserve"> 91283 </t>
  </si>
  <si>
    <t>CORTADORA DE PISO COM MOTOR 4 TEMPOS A GASOLINA, POTÊNCIA DE 13 HP, COM DISCO DE CORTE DIAMANTADO SEGMENTADO PARA CONCRETO, DIÂMETRO DE 350 MM, FURO DE 1" (14 X 1") - CHP DIURNO. AF_08/2015</t>
  </si>
  <si>
    <t xml:space="preserve"> 00013887 </t>
  </si>
  <si>
    <t>DISCO DE CORTE DIAMANTADO SEGMENTADO PARA CONCRETO, DIAMETRO DE 350 MM, FURO DE 1 " (14 X 1 ")</t>
  </si>
  <si>
    <t xml:space="preserve"> 90999 </t>
  </si>
  <si>
    <t>COMPRESSOR DE AR REBOCAVEL, VAZÃO 400 PCM, PRESSAO DE TRABALHO 102 PSI, MOTOR A DIESEL POTÊNCIA 110 CV - CHP DIURNO. AF_06/2015</t>
  </si>
  <si>
    <t>RESUMO DAS DEMOLIÇÕES - ACESSO</t>
  </si>
  <si>
    <t>1 - A espessura da camada de limpeza considerada foi e= 0,30m.</t>
  </si>
  <si>
    <t>QUANTIFICAÇÃO DE CALÇADAS E ACESSIBILIDADE - LOTEAMENTO</t>
  </si>
  <si>
    <t>QUANTITATIVO DE SINALIZAÇÃO - LOTEAMENTO</t>
  </si>
  <si>
    <t>QUANTIFICAÇÃO GERAL DA PAVIMENTAÇÃO - ACESSO</t>
  </si>
  <si>
    <t>MOVIMENTAÇÃO DE TERRA
BACIA DE DETENÇÃO - ACESSO</t>
  </si>
  <si>
    <t>QUANTITATIVO DE SINALIZAÇÃO - ACESSO</t>
  </si>
  <si>
    <t/>
  </si>
  <si>
    <t>150 DIAS</t>
  </si>
  <si>
    <t>180 DIAS</t>
  </si>
  <si>
    <t>210 DIAS</t>
  </si>
  <si>
    <t>240 DIAS</t>
  </si>
  <si>
    <t>Plantio de Grama
(m²)</t>
  </si>
  <si>
    <t>TUBOS DE CONCRETO/GRAMA</t>
  </si>
  <si>
    <t>TRANSP. GRAMA DMT ATÉ 30km:</t>
  </si>
  <si>
    <t>TRANSP. GRAMA DMT EXC. 30km:</t>
  </si>
  <si>
    <t>PESO DA GRAMA:</t>
  </si>
  <si>
    <t>t/m²</t>
  </si>
  <si>
    <t xml:space="preserve"> 3.1.36 </t>
  </si>
  <si>
    <t xml:space="preserve"> 98504 </t>
  </si>
  <si>
    <t>PLANTIO DE GRAMA EM PLACAS. AF_05/2018</t>
  </si>
  <si>
    <t xml:space="preserve"> 3.1.37 </t>
  </si>
  <si>
    <t xml:space="preserve"> 3.1.38 </t>
  </si>
  <si>
    <t xml:space="preserve"> 3.3.6 </t>
  </si>
  <si>
    <t xml:space="preserve"> IUC10001 </t>
  </si>
  <si>
    <t>Defensa semi-maleável simples (fornecimento / implantação)</t>
  </si>
  <si>
    <t xml:space="preserve"> 91395 </t>
  </si>
  <si>
    <t>CAMINHÃO TOCO, PBT 14.300 KG, CARGA ÚTIL MÁX. 9.710 KG, DIST. ENTRE EIXOS 3,56 M, POTÊNCIA 185 CV, INCLUSIVE CARROCERIA FIXA ABERTA DE MADEIRA P/ TRANSPORTE GERAL DE CARGA SECA, DIMEN. APROX. 2,50 X 6,50 X 0,50 M - CHI DIURNO. AF_06/2014</t>
  </si>
  <si>
    <t xml:space="preserve"> 90972 </t>
  </si>
  <si>
    <t>COMPRESSOR DE AR REBOCAVEL, VAZÃO 250 PCM, PRESSAO DE TRABALHO 102 PSI, MOTOR A DIESEL POTÊNCIA 81 CV - CHP DIURNO. AF_06/2015</t>
  </si>
  <si>
    <t xml:space="preserve"> 5795 </t>
  </si>
  <si>
    <t>MARTELETE OU ROMPEDOR PNEUMÁTICO MANUAL, 28 KG, COM SILENCIADOR - CHP DIURNO. AF_07/2016</t>
  </si>
  <si>
    <t xml:space="preserve"> 88277 </t>
  </si>
  <si>
    <t>MONTADOR (TUBO AÇO/EQUIPAMENTOS) COM ENCARGOS COMPLEMENTARES</t>
  </si>
  <si>
    <t>Rua Projetada 11</t>
  </si>
  <si>
    <t>PV-13 TIPO 1</t>
  </si>
  <si>
    <t>7560514.3368m</t>
  </si>
  <si>
    <t>749073.0288m</t>
  </si>
  <si>
    <t>PV-14 TIPO 1</t>
  </si>
  <si>
    <t>7560324.3873m</t>
  </si>
  <si>
    <t>748978.8818m</t>
  </si>
  <si>
    <t>PV-15 TIPO 1</t>
  </si>
  <si>
    <t>7560152.6345m</t>
  </si>
  <si>
    <t>748893.0624m</t>
  </si>
  <si>
    <t>PV-16 TIPO 1</t>
  </si>
  <si>
    <t>7559999.7558m</t>
  </si>
  <si>
    <t>748816.9970m</t>
  </si>
  <si>
    <t>SARJETÃO</t>
  </si>
  <si>
    <t>QUANTIFICAÇÃO REMENDO PROFUNDO/RECOMPOSIÇÃO NO PAVIMENTO EXISTENTE</t>
  </si>
  <si>
    <t>REMENDO PROFUNDO</t>
  </si>
  <si>
    <t>COMPLEMENTARES</t>
  </si>
  <si>
    <t>Área Total
(m²)</t>
  </si>
  <si>
    <t>Demolição e Escavação - Pavimento
e=0,45m
(m³)</t>
  </si>
  <si>
    <t>Carga, Manobra e Descarga - 
Material Demolido
emp=30%
(m³)</t>
  </si>
  <si>
    <t>Transporte - Material Demolido
(m³.km)</t>
  </si>
  <si>
    <t>Regularização e Compactação - Sub-leito
(m²)</t>
  </si>
  <si>
    <t>Preparo Fundo com Brita - 
Sub-leito
e=0,30m
(m³)</t>
  </si>
  <si>
    <t>Recomposição de Base Bica Corrida
e=0,15m
(m³)</t>
  </si>
  <si>
    <t>Transporte - 
Material Pétreo
DMT até 30km
(m³.km)</t>
  </si>
  <si>
    <t>Transporte - 
Material Pétreo
DMT exc. 30km
(m³.km)</t>
  </si>
  <si>
    <t>Imprimação com EAI
1,2l/m²
(m²)</t>
  </si>
  <si>
    <t>Transporte de EAI
DMT até 30km
(t.km)</t>
  </si>
  <si>
    <t>Recomposição de Revestimento com CBUQ
e=0,03m
(m³)</t>
  </si>
  <si>
    <t>Aquisição CBUQ
2,5548t/m³
(t)</t>
  </si>
  <si>
    <t>Reconstrução de Meio-fio
(m)</t>
  </si>
  <si>
    <t>Transporte Brita -
MFC
DMT até 30km
(m³.km)</t>
  </si>
  <si>
    <t>Transporte Brita -
MFC
DMT exc. 30km
(m³.km)</t>
  </si>
  <si>
    <t>Totais</t>
  </si>
  <si>
    <t>DMT PEDREIRA:</t>
  </si>
  <si>
    <t>DMT EAI:</t>
  </si>
  <si>
    <t>DMT CBUQ:</t>
  </si>
  <si>
    <t>Transporte de CBUQ
DMT até 30km
(t.km)</t>
  </si>
  <si>
    <t>Transporte de CBUQ
DMT exc. 30km
(t.km)</t>
  </si>
  <si>
    <t>Serviços: 20,70%
Materiais: 15,27%</t>
  </si>
  <si>
    <t xml:space="preserve"> 2.1.3 </t>
  </si>
  <si>
    <t xml:space="preserve"> 2.1.4 </t>
  </si>
  <si>
    <t xml:space="preserve"> 2.1.9 </t>
  </si>
  <si>
    <t>TUBO DE CONCRETO ARMADO PARA AGUAS PLUVIAIS, CLASSE PA-1, COM ENCAIXE PONTA E BOLSA, DIAMETRO NOMINAL DE = 600 MM</t>
  </si>
  <si>
    <t>TUBO DE CONCRETO ARMADO PARA AGUAS PLUVIAIS, CLASSE PA-1, COM ENCAIXE PONTA E BOLSA, DIAMETRO NOMINAL DE 1200 MM</t>
  </si>
  <si>
    <t>ASSENTAMENTO DE TUBO DE CONCRETO PARA REDES COLETORAS DE ÁGUAS PLUVIAIS, DIÂMETRO DE 1200 MM, JUNTA RÍGIDA, INSTALADO EM LOCAL COM BAIXO NÍVEL DE INTERFERÊNCIAS (NÃO INCLUI FORNECIMENTO). AF_12/2015</t>
  </si>
  <si>
    <t>BLDC - Boca-de-lobo dupla, em concreto simples fck 20 MPa, incluindo forma, escavação, calçamento ao redor e grelhas em FoFo tipo pesada, conforme projeto</t>
  </si>
  <si>
    <t xml:space="preserve"> 2.1.29 </t>
  </si>
  <si>
    <t xml:space="preserve"> 2.1.30 </t>
  </si>
  <si>
    <t>EXECUÇÃO DE SARJETÃO DE CONCRETO USINADO, MOLDADA  IN LOCO  EM TRECHO RETO, 100 CM BASE X 20 CM ALTURA. AF_06/2016</t>
  </si>
  <si>
    <t>Não Desonerado:  0,00%</t>
  </si>
  <si>
    <t>Orçamento Sintético</t>
  </si>
  <si>
    <t>PAVIMENTAÇÃO - TERRAPLENAGEM E IMPLANTAÇÃO</t>
  </si>
  <si>
    <t xml:space="preserve"> 2.2.1.1 </t>
  </si>
  <si>
    <t xml:space="preserve"> 2.2.1.2 </t>
  </si>
  <si>
    <t xml:space="preserve"> 2.2.1.3 </t>
  </si>
  <si>
    <t xml:space="preserve"> 2.2.1.4 </t>
  </si>
  <si>
    <t xml:space="preserve"> 2.2.1.5 </t>
  </si>
  <si>
    <t xml:space="preserve"> 2.2.1.6 </t>
  </si>
  <si>
    <t xml:space="preserve"> 2.2.1.7 </t>
  </si>
  <si>
    <t xml:space="preserve"> 2.2.1.8 </t>
  </si>
  <si>
    <t xml:space="preserve"> 2.2.1.9 </t>
  </si>
  <si>
    <t xml:space="preserve"> 2.2.1.14 </t>
  </si>
  <si>
    <t xml:space="preserve"> 00001518 </t>
  </si>
  <si>
    <t>CONCRETO BETUMINOSO USINADO A QUENTE (CBUQ) PARA PAVIMENTACAO ASFALTICA, PADRAO DNIT, FAIXA C, COM CAP 50/70 - AQUISICAO POSTO USINA</t>
  </si>
  <si>
    <t xml:space="preserve"> 2.2.1.15 </t>
  </si>
  <si>
    <t xml:space="preserve"> IUP20005 </t>
  </si>
  <si>
    <t>Aplicação de concreto betuminoso usinado à quente (CBUQ), exclusive transporte e material Ref SINAPI 95995</t>
  </si>
  <si>
    <t xml:space="preserve"> 2.2.1.16 </t>
  </si>
  <si>
    <t xml:space="preserve"> 95878 </t>
  </si>
  <si>
    <t>TRANSPORTE COM CAMINHÃO BASCULANTE DE 10 M³, EM VIA URBANA PAVIMENTADA, DMT ATÉ 30 KM (UNIDADE: TXKM). AF_07/2020</t>
  </si>
  <si>
    <t xml:space="preserve"> 2.2.1.17 </t>
  </si>
  <si>
    <t xml:space="preserve"> 93596 </t>
  </si>
  <si>
    <t>TRANSPORTE COM CAMINHÃO BASCULANTE DE 10 M³, EM VIA URBANA PAVIMENTADA, ADICIONAL PARA DMT EXCEDENTE A 30 KM (UNIDADE: TXKM). AF_07/2020</t>
  </si>
  <si>
    <t xml:space="preserve"> 2.2.1.18 </t>
  </si>
  <si>
    <t xml:space="preserve"> 2.2.1.19 </t>
  </si>
  <si>
    <t xml:space="preserve"> 2.2.1.20 </t>
  </si>
  <si>
    <t xml:space="preserve"> 2.2.1.21 </t>
  </si>
  <si>
    <t>PAVIMENTAÇÃO - REMENDO PROFUNDO</t>
  </si>
  <si>
    <t xml:space="preserve"> 2.2.2.1 </t>
  </si>
  <si>
    <t xml:space="preserve"> IUD20075 </t>
  </si>
  <si>
    <t>Regularização manual e compactação mecânica de terreno</t>
  </si>
  <si>
    <t xml:space="preserve"> 2.2.2.2 </t>
  </si>
  <si>
    <t xml:space="preserve"> 101624 </t>
  </si>
  <si>
    <t>PREPARO DE FUNDO DE VALA COM LARGURA MAIOR OU IGUAL A 1,5 M E MENOR QUE 2,5 M, COM CAMADA DE BRITA, LANÇAMENTO MECANIZADO. AF_08/2020</t>
  </si>
  <si>
    <t xml:space="preserve"> 2.2.2.3 </t>
  </si>
  <si>
    <t xml:space="preserve"> IUP30031 </t>
  </si>
  <si>
    <t>Recomposição manual de base para pavimentação com bica corrida, inclusive compactação e fornecimento de materiais. Exclusive transporte.</t>
  </si>
  <si>
    <t xml:space="preserve"> 2.2.2.4 </t>
  </si>
  <si>
    <t xml:space="preserve"> 2.2.2.5 </t>
  </si>
  <si>
    <t xml:space="preserve"> 2.2.2.6 </t>
  </si>
  <si>
    <t xml:space="preserve"> 2.2.2.7 </t>
  </si>
  <si>
    <t xml:space="preserve"> 2.2.2.8 </t>
  </si>
  <si>
    <t xml:space="preserve"> IUP30032 </t>
  </si>
  <si>
    <t>CBUQ - aplicação em fechamento de vala e remendos. Incluindo compactação com rolo tandem compacto. Exclusive fornecimento e transporte.</t>
  </si>
  <si>
    <t xml:space="preserve"> 2.2.2.9 </t>
  </si>
  <si>
    <t xml:space="preserve"> 2.2.2.10 </t>
  </si>
  <si>
    <t xml:space="preserve"> 2.2.2.11 </t>
  </si>
  <si>
    <t xml:space="preserve"> 3.2.29 </t>
  </si>
  <si>
    <t xml:space="preserve"> 2.4.7 </t>
  </si>
  <si>
    <t xml:space="preserve"> 92917 </t>
  </si>
  <si>
    <t>ARMAÇÃO DE ESTRUTURAS DE CONCRETO ARMADO, EXCETO VIGAS, PILARES, LAJES E FUNDAÇÕES, UTILIZANDO AÇO CA-50 DE 8,0 MM - MONTAGEM. AF_12/2015</t>
  </si>
  <si>
    <t xml:space="preserve"> 91386 </t>
  </si>
  <si>
    <t>CAMINHÃO BASCULANTE 10 M3, TRUCADO CABINE SIMPLES, PESO BRUTO TOTAL 23.000 KG, CARGA ÚTIL MÁXIMA 15.935 KG, DISTÂNCIA ENTRE EIXOS 4,80 M, POTÊNCIA 230 CV INCLUSIVE CAÇAMBA METÁLICA - CHP DIURNO. AF_06/2014</t>
  </si>
  <si>
    <t xml:space="preserve"> 88314 </t>
  </si>
  <si>
    <t>RASTELEIRO COM ENCARGOS COMPLEMENTARES</t>
  </si>
  <si>
    <t xml:space="preserve"> 96464 </t>
  </si>
  <si>
    <t>ROLO COMPACTADOR DE PNEUS, ESTATICO, PRESSAO VARIAVEL, POTENCIA 110 HP, PESO SEM/COM LASTRO 10,8/27 T, LARGURA DE ROLAGEM 2,30 M - CHI DIURNO. AF_06/2017</t>
  </si>
  <si>
    <t xml:space="preserve"> 96463 </t>
  </si>
  <si>
    <t>ROLO COMPACTADOR DE PNEUS, ESTATICO, PRESSAO VARIAVEL, POTENCIA 110 HP, PESO SEM/COM LASTRO 10,8/27 T, LARGURA DE ROLAGEM 2,30 M - CHP DIURNO. AF_06/2017</t>
  </si>
  <si>
    <t xml:space="preserve"> 95632 </t>
  </si>
  <si>
    <t>ROLO COMPACTADOR VIBRATORIO TANDEM, ACO LISO, POTENCIA 125 HP, PESO SEM/COM LASTRO 10,20/11,65 T, LARGURA DE TRABALHO 1,73 M - CHI DIURNO. AF_11/2016</t>
  </si>
  <si>
    <t xml:space="preserve"> 95631 </t>
  </si>
  <si>
    <t>ROLO COMPACTADOR VIBRATORIO TANDEM, ACO LISO, POTENCIA 125 HP, PESO SEM/COM LASTRO 10,20/11,65 T, LARGURA DE TRABALHO 1,73 M - CHP DIURNO. AF_11/2016</t>
  </si>
  <si>
    <t xml:space="preserve"> 96155 </t>
  </si>
  <si>
    <t>TRATOR DE PNEUS COM POTÊNCIA DE 85 CV, TRAÇÃO 4X4, COM VASSOURA MECÂNICA ACOPLADA - CHI DIURNO. AF_02/2017</t>
  </si>
  <si>
    <t xml:space="preserve"> 96157 </t>
  </si>
  <si>
    <t>TRATOR DE PNEUS COM POTÊNCIA DE 85 CV, TRAÇÃO 4X4, COM VASSOURA MECÂNICA ACOPLADA - CHP DIURNO. AF_03/2017</t>
  </si>
  <si>
    <t xml:space="preserve"> 5837 </t>
  </si>
  <si>
    <t>VIBROACABADORA DE ASFALTO SOBRE ESTEIRAS, LARGURA DE PAVIMENTAÇÃO 1,90 M A 5,30 M, POTÊNCIA 105 HP CAPACIDADE 450 T/H - CHI DIURNO. AF_11/2014</t>
  </si>
  <si>
    <t xml:space="preserve"> 5835 </t>
  </si>
  <si>
    <t>VIBROACABADORA DE ASFALTO SOBRE ESTEIRAS, LARGURA DE PAVIMENTAÇÃO 1,90 M A 5,30 M, POTÊNCIA 105 HP CAPACIDADE 450 T/H - CHP DIURNO. AF_11/2014</t>
  </si>
  <si>
    <t xml:space="preserve"> 91533 </t>
  </si>
  <si>
    <t>COMPACTADOR DE SOLOS DE PERCUSSÃO (SOQUETE) COM MOTOR A GASOLINA 4 TEMPOS, POTÊNCIA 4 CV - CHP DIURNO. AF_08/2015</t>
  </si>
  <si>
    <t xml:space="preserve"> 6259 </t>
  </si>
  <si>
    <t>CAMINHÃO PIPA 6.000 L, PESO BRUTO TOTAL 13.000 KG, DISTÂNCIA ENTRE EIXOS 4,80 M, POTÊNCIA 189 CV INCLUSIVE TANQUE DE AÇO PARA TRANSPORTE DE ÁGUA, CAPACIDADE 6 M3 - CHP DIURNO. AF_06/2014</t>
  </si>
  <si>
    <t xml:space="preserve"> 91277 </t>
  </si>
  <si>
    <t>PLACA VIBRATÓRIA REVERSÍVEL COM MOTOR 4 TEMPOS A GASOLINA, FORÇA CENTRÍFUGA DE 25 KN (2500 KGF), POTÊNCIA 5,5 CV - CHP DIURNO. AF_08/2015</t>
  </si>
  <si>
    <t xml:space="preserve"> 00004748 </t>
  </si>
  <si>
    <t>PEDRA BRITADA OU BICA CORRIDA, NAO CLASSIFICADA (POSTO PEDREIRA/FORNECEDOR, SEM FRETE)</t>
  </si>
  <si>
    <t xml:space="preserve"> 5865 </t>
  </si>
  <si>
    <t>ROLO COMPACTADOR VIBRATÓRIO REBOCÁVEL, CILINDRO DE AÇO LISO, POTÊNCIA DE TRAÇÃO DE 65 CV, PESO 4,7 T, IMPACTO DINÂMICO 18,3 T, LARGURA DE TRABALHO 1,67 M - CHI DIURNO. AF_02/2016</t>
  </si>
  <si>
    <t xml:space="preserve"> 5863 </t>
  </si>
  <si>
    <t>ROLO COMPACTADOR VIBRATÓRIO REBOCÁVEL, CILINDRO DE AÇO LISO, POTÊNCIA DE TRAÇÃO DE 65 CV, PESO 4,7 T, IMPACTO DINÂMICO 18,3 T, LARGURA DE TRABALHO 1,67 M - CHP DIURNO. AF_02/2016</t>
  </si>
  <si>
    <t>Área
(m²)</t>
  </si>
  <si>
    <t>Espessura
(m)</t>
  </si>
  <si>
    <t>Volume
(m³)</t>
  </si>
  <si>
    <t>AQUISIÇÃO MATERIAL SUB-BASE (EMP. 15%):</t>
  </si>
  <si>
    <t>TRANSP. (EMP. 30%) DMT ATÉ 30km:</t>
  </si>
  <si>
    <t>TRANSP. (EMP. 30%) DMT EXC. 30km:</t>
  </si>
  <si>
    <t xml:space="preserve"> 2.2.1.22 </t>
  </si>
  <si>
    <t xml:space="preserve"> 2.2.1.23 </t>
  </si>
  <si>
    <t xml:space="preserve"> 2.2.1.24 </t>
  </si>
  <si>
    <t xml:space="preserve"> 2.2.1.25 </t>
  </si>
  <si>
    <t xml:space="preserve"> COMP 2022 420 </t>
  </si>
  <si>
    <t xml:space="preserve"> COMP 2022 076 </t>
  </si>
  <si>
    <t xml:space="preserve"> COMP 2022 95 </t>
  </si>
  <si>
    <t xml:space="preserve"> 96544 </t>
  </si>
  <si>
    <t>ARMAÇÃO DE BLOCO, VIGA BALDRAME OU SAPATA UTILIZANDO AÇO CA-50 DE 6,3 MM - MONTAGEM. AF_06/2017</t>
  </si>
  <si>
    <t>Serviços: 26,74%
Materiais: 20,92%</t>
  </si>
  <si>
    <t>ZEBRADO CANTEIRO CENTRAL (ZPA)</t>
  </si>
  <si>
    <t>DMT BOTA ESPERA:</t>
  </si>
  <si>
    <t>Vol. Importação 
Material (m³)</t>
  </si>
  <si>
    <t>Vol. Material Aterro Loteamento (m³)</t>
  </si>
  <si>
    <t>BOTA FORA</t>
  </si>
  <si>
    <t>MATERIAL DE EMPRÉSTIMO ATERRO
(BACIA DE CONTENTENÇÃO)</t>
  </si>
  <si>
    <t xml:space="preserve">BACIA </t>
  </si>
  <si>
    <t>CARGA, DESC. MATERIAL IMPORTADO - ATERRO (EMP. 15%):</t>
  </si>
  <si>
    <t>TRANSP. MATERIAL IMPORTADO - ATERRO (EMP.30%):</t>
  </si>
  <si>
    <t>Rua Projetada 07</t>
  </si>
  <si>
    <t>TR-4</t>
  </si>
  <si>
    <t>TR-5</t>
  </si>
  <si>
    <t>TR-6</t>
  </si>
  <si>
    <t>SINAPI - 12/2023 - MS</t>
  </si>
  <si>
    <t xml:space="preserve"> COMP 2022 169 </t>
  </si>
  <si>
    <t xml:space="preserve"> 93588 </t>
  </si>
  <si>
    <t>TRANSPORTE COM CAMINHÃO BASCULANTE DE 10 M³, EM VIA URBANA EM LEITO NATURAL (UNIDADE: M3XKM). AF_07/2020</t>
  </si>
  <si>
    <t xml:space="preserve"> COMP 2024 137 </t>
  </si>
  <si>
    <t>EXECUÇÃO DE IMPRIMAÇÃO COM EMULSÃO ASFALTICA A BASE DÁGUA. AF 02/2024.</t>
  </si>
  <si>
    <t xml:space="preserve"> 2.2.1.26 </t>
  </si>
  <si>
    <t xml:space="preserve"> 2.2.1.27 </t>
  </si>
  <si>
    <t xml:space="preserve"> COMP 07 </t>
  </si>
  <si>
    <t>MEIO-FIO COM SARJETA, CONCRETO FCK=15 MPA, SEÇÃO 615 CM², MOLDADO NO LOCAL, PINTURA A CAL EM UMA DEMÃO</t>
  </si>
  <si>
    <t xml:space="preserve"> 2.2.1.29 </t>
  </si>
  <si>
    <t xml:space="preserve"> 2.2.1.30 </t>
  </si>
  <si>
    <t xml:space="preserve"> COMP 2024 113 </t>
  </si>
  <si>
    <t>Fornecimento e instalação de placa de sinalização viária (placa "PARE"), incluído suporte de madeira pintado a cal e fixado em base de concreto não estrutural</t>
  </si>
  <si>
    <t xml:space="preserve"> 2.4.8 </t>
  </si>
  <si>
    <t xml:space="preserve"> COMP 02 </t>
  </si>
  <si>
    <t>RECORTE MECÂNICO DE PAVIMENTO ASFÁLTICO OU PISO DE CONCRETO, COM SERRA DE DISCO DIAMANTADO PARA PISO/ASFALTO</t>
  </si>
  <si>
    <t xml:space="preserve"> IUC10009 </t>
  </si>
  <si>
    <t>Pintura a base de cal e fixador a base de cola, duas demãos</t>
  </si>
  <si>
    <t xml:space="preserve"> 00004430 </t>
  </si>
  <si>
    <t>CAIBRO NAO APARELHADO *5 X 6* CM, EM MACARANDUBA, ANGELIM OU EQUIVALENTE DA REGIAO -  BRUTA</t>
  </si>
  <si>
    <t xml:space="preserve"> 88310 </t>
  </si>
  <si>
    <t>PINTOR COM ENCARGOS COMPLEMENTARES</t>
  </si>
  <si>
    <t xml:space="preserve"> 00011161 </t>
  </si>
  <si>
    <t>CAL HIDRATADA PARA PINTURA</t>
  </si>
  <si>
    <t xml:space="preserve"> 00007725 </t>
  </si>
  <si>
    <t xml:space="preserve"> 00007757 </t>
  </si>
  <si>
    <t xml:space="preserve"> 92817 </t>
  </si>
  <si>
    <t xml:space="preserve"> 94293 </t>
  </si>
  <si>
    <t xml:space="preserve"> 90777 </t>
  </si>
  <si>
    <t xml:space="preserve"> 90780 </t>
  </si>
  <si>
    <t xml:space="preserve"> 90781 </t>
  </si>
  <si>
    <t xml:space="preserve"> 88253 </t>
  </si>
  <si>
    <t xml:space="preserve"> 88321 </t>
  </si>
  <si>
    <t xml:space="preserve"> 88249 </t>
  </si>
  <si>
    <t>9,92%</t>
  </si>
  <si>
    <t>15,15%</t>
  </si>
  <si>
    <t>19,83%</t>
  </si>
  <si>
    <t>100,0%</t>
  </si>
  <si>
    <t xml:space="preserve"> 2.2.1.10 </t>
  </si>
  <si>
    <t xml:space="preserve"> 00000368 </t>
  </si>
  <si>
    <t>AREIA PARA ATERRO - POSTO JAZIDA/FORNECEDOR (RETIRADO NA JAZIDA, SEM TRANSPORTE)</t>
  </si>
  <si>
    <t>PLACA ESMALTADA PARA IDENTIFICAÇÃO NR DE RUA, DIMENSÕES 45X20CM (Ref. SINAPI 73916/002-01/2020)</t>
  </si>
  <si>
    <t xml:space="preserve"> 100289 </t>
  </si>
  <si>
    <t>VIGIA DIURNO COM ENCARGOS COMPLEMENTARES</t>
  </si>
  <si>
    <t xml:space="preserve"> COMP 2024 006 </t>
  </si>
  <si>
    <t>RAMAL PREDIAL EM TUBO PEAD 20MM - FORNECIMENTO, INSTALAÇÃO, ESCAVAÇÃO E REATERRO (af 01/2024)</t>
  </si>
  <si>
    <t xml:space="preserve"> COMP 2024 289 </t>
  </si>
  <si>
    <t>100,00%
42.127,38</t>
  </si>
  <si>
    <t>100,00%
2.222.706,52</t>
  </si>
  <si>
    <t>10,00%
222.270,65</t>
  </si>
  <si>
    <t>20,00%
444.541,30</t>
  </si>
  <si>
    <t>100,00%
2.594.918,49</t>
  </si>
  <si>
    <t>10,00%
259.491,85</t>
  </si>
  <si>
    <t>20,00%
518.983,70</t>
  </si>
  <si>
    <t>100,00%
243.220,00</t>
  </si>
  <si>
    <t>3,00%
7.296,60</t>
  </si>
  <si>
    <t>10,00%
24.322,00</t>
  </si>
  <si>
    <t>13,00%
31.618,60</t>
  </si>
  <si>
    <t>20,00%
48.644,00</t>
  </si>
  <si>
    <t>7,00%
17.025,40</t>
  </si>
  <si>
    <t>6,05%</t>
  </si>
  <si>
    <t>4,69%</t>
  </si>
  <si>
    <t>308.915,83</t>
  </si>
  <si>
    <t>506.084,50</t>
  </si>
  <si>
    <t>772.872,95</t>
  </si>
  <si>
    <t>1.012.169,00</t>
  </si>
  <si>
    <t>239.296,05</t>
  </si>
  <si>
    <t>15,97%</t>
  </si>
  <si>
    <t>31,12%</t>
  </si>
  <si>
    <t>50,95%</t>
  </si>
  <si>
    <t>70,79%</t>
  </si>
  <si>
    <t>90,62%</t>
  </si>
  <si>
    <t>95,31%</t>
  </si>
  <si>
    <t>308.915,82</t>
  </si>
  <si>
    <t>815.000,33</t>
  </si>
  <si>
    <t>1.587.873,28</t>
  </si>
  <si>
    <t>2.600.042,28</t>
  </si>
  <si>
    <t>3.612.211,28</t>
  </si>
  <si>
    <t>4.624.380,28</t>
  </si>
  <si>
    <t>4.863.676,33</t>
  </si>
  <si>
    <t>5.102.972,39</t>
  </si>
  <si>
    <t>Desonerado</t>
  </si>
  <si>
    <t>PA-1</t>
  </si>
  <si>
    <t>Com</t>
  </si>
  <si>
    <t>Sem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</si>
</sst>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0"/>
    <numFmt numFmtId="165" formatCode="#,##0.00\ &quot;m&quot;"/>
    <numFmt numFmtId="166" formatCode="#,##0.00\ &quot;m²&quot;"/>
    <numFmt numFmtId="167" formatCode="#,##0.00\ &quot;unid.&quot;"/>
    <numFmt numFmtId="168" formatCode="[$-416]mmm\-yy;@"/>
    <numFmt numFmtId="169" formatCode="0.000"/>
    <numFmt numFmtId="170" formatCode="#,##0.00\ %"/>
    <numFmt numFmtId="171" formatCode="#,##0.0000000"/>
    <numFmt numFmtId="172" formatCode="0.0000"/>
    <numFmt numFmtId="173" formatCode="#,##0.000;\-#,##0.000"/>
  </numFmts>
  <fonts count="7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Courier"/>
      <family val="3"/>
    </font>
    <font>
      <b/>
      <sz val="11"/>
      <color rgb="FF000000"/>
      <name val="Calibri"/>
      <family val="2"/>
      <scheme val="minor"/>
    </font>
    <font>
      <sz val="9"/>
      <color indexed="81"/>
      <name val="Segoe UI"/>
      <family val="2"/>
    </font>
    <font>
      <sz val="11"/>
      <name val="Arial"/>
      <family val="1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name val="Times New Roman"/>
      <family val="1"/>
    </font>
    <font>
      <sz val="11"/>
      <color rgb="FF000000"/>
      <name val="Calibri"/>
      <family val="2"/>
      <scheme val="minor"/>
    </font>
    <font>
      <b/>
      <i/>
      <sz val="10"/>
      <name val="Calibri"/>
      <family val="2"/>
      <scheme val="minor"/>
    </font>
    <font>
      <sz val="8"/>
      <name val="Calibri"/>
      <family val="2"/>
      <scheme val="minor"/>
    </font>
    <font>
      <b/>
      <i/>
      <sz val="8"/>
      <name val="Calibri"/>
      <family val="2"/>
      <scheme val="minor"/>
    </font>
    <font>
      <vertAlign val="subscript"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5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10"/>
      <color theme="10"/>
      <name val="Courier"/>
      <family val="3"/>
    </font>
    <font>
      <b/>
      <i/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3" tint="0.39997558519241921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Segoe U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9"/>
      <name val="Arial"/>
      <family val="2"/>
    </font>
    <font>
      <vertAlign val="subscript"/>
      <sz val="9"/>
      <name val="Arial"/>
      <family val="2"/>
    </font>
    <font>
      <sz val="9"/>
      <color rgb="FF000000"/>
      <name val="Arial"/>
      <family val="2"/>
    </font>
    <font>
      <sz val="8"/>
      <name val="Times New Roman"/>
      <family val="1"/>
    </font>
    <font>
      <sz val="12"/>
      <color theme="1"/>
      <name val="Calibri"/>
      <family val="2"/>
      <scheme val="minor"/>
    </font>
    <font>
      <sz val="8"/>
      <name val="Times New Roman"/>
      <family val="1"/>
    </font>
    <font>
      <b/>
      <sz val="10"/>
      <color theme="8" tint="-0.249977111117893"/>
      <name val="Calibri"/>
      <family val="2"/>
      <scheme val="minor"/>
    </font>
    <font>
      <sz val="8"/>
      <name val="Times New Roman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rgb="FFD8ECF6"/>
      </patternFill>
    </fill>
    <fill>
      <patternFill patternType="solid">
        <fgColor rgb="FFDFF0D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</fills>
  <borders count="8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ck">
        <color rgb="FF000000"/>
      </top>
      <bottom/>
      <diagonal/>
    </border>
    <border>
      <left/>
      <right/>
      <top/>
      <bottom style="thick">
        <color rgb="FFFF5500"/>
      </bottom>
      <diagonal/>
    </border>
    <border>
      <left/>
      <right/>
      <top style="thin">
        <color rgb="FFCCCCCC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/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">
    <xf numFmtId="0" fontId="0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3" fontId="22" fillId="0" borderId="0" applyFont="0" applyFill="0" applyBorder="0" applyAlignment="0" applyProtection="0"/>
    <xf numFmtId="0" fontId="17" fillId="0" borderId="0"/>
    <xf numFmtId="0" fontId="23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168" fontId="30" fillId="0" borderId="0"/>
    <xf numFmtId="0" fontId="15" fillId="0" borderId="0"/>
    <xf numFmtId="43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0" fontId="33" fillId="0" borderId="0"/>
    <xf numFmtId="0" fontId="33" fillId="0" borderId="0"/>
    <xf numFmtId="0" fontId="13" fillId="0" borderId="0"/>
    <xf numFmtId="0" fontId="12" fillId="0" borderId="0"/>
    <xf numFmtId="0" fontId="47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1" fillId="0" borderId="0"/>
    <xf numFmtId="0" fontId="22" fillId="0" borderId="0"/>
    <xf numFmtId="0" fontId="22" fillId="0" borderId="0"/>
    <xf numFmtId="43" fontId="11" fillId="0" borderId="0" applyFont="0" applyFill="0" applyBorder="0" applyAlignment="0" applyProtection="0"/>
    <xf numFmtId="0" fontId="22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793">
    <xf numFmtId="0" fontId="0" fillId="0" borderId="0" xfId="0" applyAlignment="1">
      <alignment horizontal="left" vertical="top"/>
    </xf>
    <xf numFmtId="0" fontId="21" fillId="3" borderId="0" xfId="7" applyFont="1" applyFill="1" applyAlignment="1">
      <alignment vertical="center"/>
    </xf>
    <xf numFmtId="0" fontId="21" fillId="3" borderId="0" xfId="7" applyFont="1" applyFill="1" applyAlignment="1">
      <alignment horizontal="center" vertical="center"/>
    </xf>
    <xf numFmtId="43" fontId="21" fillId="3" borderId="0" xfId="7" applyNumberFormat="1" applyFont="1" applyFill="1" applyAlignment="1">
      <alignment vertical="center"/>
    </xf>
    <xf numFmtId="43" fontId="21" fillId="3" borderId="0" xfId="7" applyNumberFormat="1" applyFont="1" applyFill="1" applyAlignment="1">
      <alignment horizontal="center" vertical="center"/>
    </xf>
    <xf numFmtId="2" fontId="21" fillId="3" borderId="0" xfId="7" applyNumberFormat="1" applyFont="1" applyFill="1" applyAlignment="1">
      <alignment vertical="center"/>
    </xf>
    <xf numFmtId="43" fontId="20" fillId="3" borderId="0" xfId="9" applyFont="1" applyFill="1" applyAlignment="1">
      <alignment vertical="center"/>
    </xf>
    <xf numFmtId="43" fontId="20" fillId="3" borderId="0" xfId="9" applyFont="1" applyFill="1" applyAlignment="1">
      <alignment horizontal="center" vertical="center"/>
    </xf>
    <xf numFmtId="2" fontId="20" fillId="3" borderId="0" xfId="9" applyNumberFormat="1" applyFont="1" applyFill="1" applyAlignment="1">
      <alignment vertical="center"/>
    </xf>
    <xf numFmtId="43" fontId="20" fillId="3" borderId="0" xfId="9" applyFont="1" applyFill="1" applyAlignment="1">
      <alignment horizontal="left" vertical="center"/>
    </xf>
    <xf numFmtId="43" fontId="20" fillId="3" borderId="0" xfId="9" applyFont="1" applyFill="1" applyAlignment="1">
      <alignment horizontal="right" vertical="center"/>
    </xf>
    <xf numFmtId="4" fontId="21" fillId="3" borderId="0" xfId="7" applyNumberFormat="1" applyFont="1" applyFill="1" applyAlignment="1">
      <alignment vertical="center"/>
    </xf>
    <xf numFmtId="0" fontId="21" fillId="3" borderId="0" xfId="7" applyFont="1" applyFill="1" applyAlignment="1">
      <alignment vertical="center" textRotation="90" wrapText="1"/>
    </xf>
    <xf numFmtId="0" fontId="20" fillId="3" borderId="0" xfId="7" applyFont="1" applyFill="1" applyAlignment="1">
      <alignment horizontal="right" vertical="center"/>
    </xf>
    <xf numFmtId="0" fontId="21" fillId="3" borderId="0" xfId="7" applyFont="1" applyFill="1" applyAlignment="1">
      <alignment horizontal="center" vertical="center" textRotation="90" wrapText="1"/>
    </xf>
    <xf numFmtId="0" fontId="20" fillId="3" borderId="0" xfId="7" applyFont="1" applyFill="1" applyAlignment="1">
      <alignment vertical="center"/>
    </xf>
    <xf numFmtId="0" fontId="16" fillId="0" borderId="0" xfId="12" applyAlignment="1">
      <alignment horizontal="center" vertical="center"/>
    </xf>
    <xf numFmtId="0" fontId="24" fillId="0" borderId="0" xfId="12" applyFont="1" applyAlignment="1">
      <alignment horizontal="center" vertical="center"/>
    </xf>
    <xf numFmtId="0" fontId="26" fillId="0" borderId="0" xfId="12" applyFont="1" applyAlignment="1">
      <alignment horizontal="center" vertical="center"/>
    </xf>
    <xf numFmtId="0" fontId="28" fillId="3" borderId="0" xfId="12" applyFont="1" applyFill="1" applyAlignment="1">
      <alignment vertical="center"/>
    </xf>
    <xf numFmtId="0" fontId="28" fillId="3" borderId="0" xfId="12" applyFont="1" applyFill="1"/>
    <xf numFmtId="165" fontId="25" fillId="6" borderId="17" xfId="12" applyNumberFormat="1" applyFont="1" applyFill="1" applyBorder="1" applyAlignment="1">
      <alignment horizontal="center" vertical="center"/>
    </xf>
    <xf numFmtId="166" fontId="28" fillId="3" borderId="25" xfId="12" applyNumberFormat="1" applyFont="1" applyFill="1" applyBorder="1" applyAlignment="1">
      <alignment horizontal="center" vertical="center"/>
    </xf>
    <xf numFmtId="166" fontId="28" fillId="3" borderId="13" xfId="12" applyNumberFormat="1" applyFont="1" applyFill="1" applyBorder="1" applyAlignment="1">
      <alignment horizontal="center" vertical="center"/>
    </xf>
    <xf numFmtId="166" fontId="28" fillId="3" borderId="22" xfId="12" applyNumberFormat="1" applyFont="1" applyFill="1" applyBorder="1" applyAlignment="1">
      <alignment horizontal="center" vertical="center"/>
    </xf>
    <xf numFmtId="0" fontId="25" fillId="3" borderId="28" xfId="12" applyFont="1" applyFill="1" applyBorder="1" applyAlignment="1">
      <alignment horizontal="left" vertical="center"/>
    </xf>
    <xf numFmtId="165" fontId="28" fillId="3" borderId="30" xfId="12" applyNumberFormat="1" applyFont="1" applyFill="1" applyBorder="1" applyAlignment="1">
      <alignment horizontal="center" vertical="center"/>
    </xf>
    <xf numFmtId="167" fontId="25" fillId="3" borderId="17" xfId="12" applyNumberFormat="1" applyFont="1" applyFill="1" applyBorder="1" applyAlignment="1">
      <alignment horizontal="center" vertical="center"/>
    </xf>
    <xf numFmtId="9" fontId="28" fillId="3" borderId="4" xfId="12" applyNumberFormat="1" applyFont="1" applyFill="1" applyBorder="1"/>
    <xf numFmtId="166" fontId="25" fillId="3" borderId="31" xfId="12" applyNumberFormat="1" applyFont="1" applyFill="1" applyBorder="1" applyAlignment="1">
      <alignment horizontal="center" vertical="center"/>
    </xf>
    <xf numFmtId="0" fontId="25" fillId="3" borderId="32" xfId="12" applyFont="1" applyFill="1" applyBorder="1" applyAlignment="1">
      <alignment horizontal="left" vertical="center"/>
    </xf>
    <xf numFmtId="165" fontId="25" fillId="3" borderId="17" xfId="12" applyNumberFormat="1" applyFont="1" applyFill="1" applyBorder="1" applyAlignment="1">
      <alignment horizontal="center" vertical="center"/>
    </xf>
    <xf numFmtId="0" fontId="21" fillId="3" borderId="13" xfId="8" applyFont="1" applyFill="1" applyBorder="1" applyAlignment="1">
      <alignment horizontal="center" vertical="center"/>
    </xf>
    <xf numFmtId="0" fontId="26" fillId="3" borderId="0" xfId="14" applyFont="1" applyFill="1" applyAlignment="1">
      <alignment horizontal="center" wrapText="1"/>
    </xf>
    <xf numFmtId="4" fontId="25" fillId="0" borderId="2" xfId="14" applyNumberFormat="1" applyFont="1" applyBorder="1" applyAlignment="1">
      <alignment horizontal="center" vertical="center" wrapText="1"/>
    </xf>
    <xf numFmtId="0" fontId="26" fillId="0" borderId="0" xfId="23" applyFont="1" applyAlignment="1">
      <alignment vertical="center"/>
    </xf>
    <xf numFmtId="0" fontId="27" fillId="8" borderId="45" xfId="24" applyFont="1" applyFill="1" applyBorder="1" applyAlignment="1">
      <alignment horizontal="right" vertical="center" wrapText="1"/>
    </xf>
    <xf numFmtId="0" fontId="27" fillId="8" borderId="45" xfId="24" applyFont="1" applyFill="1" applyBorder="1" applyAlignment="1">
      <alignment horizontal="left" vertical="center" wrapText="1"/>
    </xf>
    <xf numFmtId="0" fontId="26" fillId="0" borderId="0" xfId="24" applyFont="1" applyAlignment="1">
      <alignment vertical="center"/>
    </xf>
    <xf numFmtId="0" fontId="27" fillId="8" borderId="0" xfId="24" applyFont="1" applyFill="1" applyAlignment="1">
      <alignment horizontal="left" vertical="top" wrapText="1"/>
    </xf>
    <xf numFmtId="0" fontId="26" fillId="0" borderId="0" xfId="24" applyFont="1" applyAlignment="1">
      <alignment vertical="top"/>
    </xf>
    <xf numFmtId="4" fontId="34" fillId="9" borderId="45" xfId="0" applyNumberFormat="1" applyFont="1" applyFill="1" applyBorder="1" applyAlignment="1">
      <alignment horizontal="right" vertical="top" wrapText="1"/>
    </xf>
    <xf numFmtId="170" fontId="34" fillId="9" borderId="45" xfId="0" applyNumberFormat="1" applyFont="1" applyFill="1" applyBorder="1" applyAlignment="1">
      <alignment horizontal="right" vertical="top" wrapText="1"/>
    </xf>
    <xf numFmtId="0" fontId="34" fillId="9" borderId="45" xfId="0" applyFont="1" applyFill="1" applyBorder="1" applyAlignment="1">
      <alignment horizontal="left" vertical="top" wrapText="1"/>
    </xf>
    <xf numFmtId="0" fontId="35" fillId="0" borderId="45" xfId="0" applyFont="1" applyBorder="1" applyAlignment="1">
      <alignment horizontal="left" vertical="top" wrapText="1"/>
    </xf>
    <xf numFmtId="0" fontId="35" fillId="0" borderId="45" xfId="0" applyFont="1" applyBorder="1" applyAlignment="1">
      <alignment horizontal="right" vertical="top" wrapText="1"/>
    </xf>
    <xf numFmtId="0" fontId="35" fillId="0" borderId="45" xfId="0" applyFont="1" applyBorder="1" applyAlignment="1">
      <alignment horizontal="center" vertical="top" wrapText="1"/>
    </xf>
    <xf numFmtId="4" fontId="35" fillId="0" borderId="45" xfId="0" applyNumberFormat="1" applyFont="1" applyBorder="1" applyAlignment="1">
      <alignment horizontal="right" vertical="top" wrapText="1"/>
    </xf>
    <xf numFmtId="170" fontId="35" fillId="0" borderId="45" xfId="0" applyNumberFormat="1" applyFont="1" applyBorder="1" applyAlignment="1">
      <alignment horizontal="right" vertical="top" wrapText="1"/>
    </xf>
    <xf numFmtId="0" fontId="27" fillId="8" borderId="0" xfId="24" applyFont="1" applyFill="1" applyAlignment="1">
      <alignment horizontal="left" vertical="center" wrapText="1"/>
    </xf>
    <xf numFmtId="0" fontId="26" fillId="8" borderId="0" xfId="24" applyFont="1" applyFill="1" applyAlignment="1">
      <alignment horizontal="center" vertical="center" wrapText="1"/>
    </xf>
    <xf numFmtId="0" fontId="27" fillId="8" borderId="45" xfId="0" applyFont="1" applyFill="1" applyBorder="1" applyAlignment="1">
      <alignment horizontal="right" vertical="top" wrapText="1"/>
    </xf>
    <xf numFmtId="0" fontId="27" fillId="8" borderId="45" xfId="0" applyFont="1" applyFill="1" applyBorder="1" applyAlignment="1">
      <alignment horizontal="center" vertical="top" wrapText="1"/>
    </xf>
    <xf numFmtId="0" fontId="35" fillId="0" borderId="0" xfId="0" applyFont="1"/>
    <xf numFmtId="9" fontId="50" fillId="0" borderId="13" xfId="19" applyFont="1" applyBorder="1" applyAlignment="1">
      <alignment horizontal="center" vertical="center" wrapText="1"/>
    </xf>
    <xf numFmtId="4" fontId="20" fillId="3" borderId="13" xfId="16" applyNumberFormat="1" applyFont="1" applyFill="1" applyBorder="1" applyAlignment="1">
      <alignment horizontal="center" vertical="center"/>
    </xf>
    <xf numFmtId="2" fontId="20" fillId="3" borderId="0" xfId="7" applyNumberFormat="1" applyFont="1" applyFill="1" applyAlignment="1">
      <alignment horizontal="right"/>
    </xf>
    <xf numFmtId="2" fontId="20" fillId="3" borderId="0" xfId="7" applyNumberFormat="1" applyFont="1" applyFill="1" applyAlignment="1">
      <alignment horizontal="left" vertical="center"/>
    </xf>
    <xf numFmtId="0" fontId="20" fillId="3" borderId="0" xfId="8" applyFont="1" applyFill="1" applyAlignment="1">
      <alignment vertical="center"/>
    </xf>
    <xf numFmtId="0" fontId="21" fillId="3" borderId="0" xfId="8" applyFont="1" applyFill="1" applyAlignment="1">
      <alignment vertical="center"/>
    </xf>
    <xf numFmtId="0" fontId="21" fillId="3" borderId="13" xfId="8" applyFont="1" applyFill="1" applyBorder="1" applyAlignment="1">
      <alignment horizontal="center" vertical="center" wrapText="1"/>
    </xf>
    <xf numFmtId="0" fontId="20" fillId="3" borderId="0" xfId="8" applyFont="1" applyFill="1" applyAlignment="1">
      <alignment horizontal="center" vertical="center" wrapText="1"/>
    </xf>
    <xf numFmtId="0" fontId="21" fillId="3" borderId="13" xfId="8" applyFont="1" applyFill="1" applyBorder="1" applyAlignment="1">
      <alignment horizontal="left" vertical="center" wrapText="1"/>
    </xf>
    <xf numFmtId="0" fontId="21" fillId="3" borderId="13" xfId="8" applyFont="1" applyFill="1" applyBorder="1" applyAlignment="1">
      <alignment horizontal="left" vertical="center"/>
    </xf>
    <xf numFmtId="172" fontId="35" fillId="0" borderId="13" xfId="16" applyNumberFormat="1" applyFont="1" applyBorder="1" applyAlignment="1">
      <alignment horizontal="left" vertical="center" wrapText="1"/>
    </xf>
    <xf numFmtId="2" fontId="35" fillId="0" borderId="13" xfId="16" applyNumberFormat="1" applyFont="1" applyBorder="1" applyAlignment="1">
      <alignment horizontal="left" vertical="center" wrapText="1"/>
    </xf>
    <xf numFmtId="43" fontId="21" fillId="3" borderId="0" xfId="9" applyFont="1" applyFill="1" applyAlignment="1">
      <alignment vertical="center"/>
    </xf>
    <xf numFmtId="4" fontId="20" fillId="3" borderId="0" xfId="9" applyNumberFormat="1" applyFont="1" applyFill="1" applyAlignment="1">
      <alignment horizontal="right" vertical="center"/>
    </xf>
    <xf numFmtId="0" fontId="25" fillId="0" borderId="2" xfId="14" applyFont="1" applyBorder="1" applyAlignment="1">
      <alignment horizontal="center" vertical="center" wrapText="1"/>
    </xf>
    <xf numFmtId="0" fontId="25" fillId="0" borderId="16" xfId="14" applyFont="1" applyBorder="1" applyAlignment="1">
      <alignment horizontal="left" vertical="center" wrapText="1"/>
    </xf>
    <xf numFmtId="0" fontId="31" fillId="9" borderId="45" xfId="0" applyFont="1" applyFill="1" applyBorder="1" applyAlignment="1">
      <alignment horizontal="left" vertical="top" wrapText="1"/>
    </xf>
    <xf numFmtId="0" fontId="27" fillId="8" borderId="0" xfId="0" applyFont="1" applyFill="1" applyAlignment="1">
      <alignment horizontal="left" vertical="top" wrapText="1"/>
    </xf>
    <xf numFmtId="0" fontId="37" fillId="0" borderId="0" xfId="0" applyFont="1"/>
    <xf numFmtId="0" fontId="26" fillId="8" borderId="0" xfId="0" applyFont="1" applyFill="1" applyAlignment="1">
      <alignment horizontal="left" vertical="top" wrapText="1"/>
    </xf>
    <xf numFmtId="0" fontId="37" fillId="0" borderId="0" xfId="0" applyFont="1" applyAlignment="1">
      <alignment vertical="center"/>
    </xf>
    <xf numFmtId="0" fontId="27" fillId="8" borderId="0" xfId="0" applyFont="1" applyFill="1" applyAlignment="1">
      <alignment horizontal="left" vertical="center" wrapText="1"/>
    </xf>
    <xf numFmtId="0" fontId="27" fillId="8" borderId="45" xfId="0" applyFont="1" applyFill="1" applyBorder="1" applyAlignment="1">
      <alignment horizontal="right" vertical="center" wrapText="1"/>
    </xf>
    <xf numFmtId="0" fontId="26" fillId="8" borderId="0" xfId="0" applyFont="1" applyFill="1" applyAlignment="1">
      <alignment horizontal="center" vertical="center" wrapText="1"/>
    </xf>
    <xf numFmtId="0" fontId="26" fillId="8" borderId="0" xfId="0" applyFont="1" applyFill="1" applyAlignment="1">
      <alignment horizontal="left" vertical="center" wrapText="1"/>
    </xf>
    <xf numFmtId="0" fontId="27" fillId="8" borderId="0" xfId="0" applyFont="1" applyFill="1" applyAlignment="1">
      <alignment horizontal="right" vertical="center" wrapText="1"/>
    </xf>
    <xf numFmtId="0" fontId="27" fillId="8" borderId="0" xfId="0" applyFont="1" applyFill="1" applyAlignment="1">
      <alignment horizontal="center" vertical="center" wrapText="1"/>
    </xf>
    <xf numFmtId="0" fontId="37" fillId="0" borderId="0" xfId="0" applyFont="1" applyAlignment="1">
      <alignment vertical="top"/>
    </xf>
    <xf numFmtId="0" fontId="27" fillId="8" borderId="45" xfId="0" applyFont="1" applyFill="1" applyBorder="1" applyAlignment="1">
      <alignment horizontal="left" vertical="center" wrapText="1"/>
    </xf>
    <xf numFmtId="0" fontId="27" fillId="8" borderId="0" xfId="0" applyFont="1" applyFill="1" applyAlignment="1">
      <alignment horizontal="left" vertical="center"/>
    </xf>
    <xf numFmtId="2" fontId="35" fillId="0" borderId="45" xfId="0" applyNumberFormat="1" applyFont="1" applyBorder="1" applyAlignment="1">
      <alignment horizontal="center" vertical="top" wrapText="1"/>
    </xf>
    <xf numFmtId="0" fontId="27" fillId="8" borderId="59" xfId="24" applyFont="1" applyFill="1" applyBorder="1" applyAlignment="1">
      <alignment horizontal="right" vertical="center" wrapText="1"/>
    </xf>
    <xf numFmtId="0" fontId="27" fillId="8" borderId="0" xfId="24" applyFont="1" applyFill="1" applyAlignment="1">
      <alignment vertical="center" wrapText="1"/>
    </xf>
    <xf numFmtId="0" fontId="27" fillId="8" borderId="0" xfId="24" applyFont="1" applyFill="1" applyAlignment="1">
      <alignment vertical="top" wrapText="1"/>
    </xf>
    <xf numFmtId="0" fontId="27" fillId="8" borderId="0" xfId="24" applyFont="1" applyFill="1" applyAlignment="1">
      <alignment vertical="center"/>
    </xf>
    <xf numFmtId="10" fontId="27" fillId="8" borderId="0" xfId="24" applyNumberFormat="1" applyFont="1" applyFill="1" applyAlignment="1">
      <alignment horizontal="left" vertical="top" wrapText="1"/>
    </xf>
    <xf numFmtId="0" fontId="27" fillId="8" borderId="0" xfId="24" applyFont="1" applyFill="1" applyAlignment="1">
      <alignment vertical="top"/>
    </xf>
    <xf numFmtId="0" fontId="20" fillId="3" borderId="0" xfId="7" applyFont="1" applyFill="1" applyAlignment="1">
      <alignment horizontal="left" vertical="center"/>
    </xf>
    <xf numFmtId="0" fontId="25" fillId="4" borderId="3" xfId="12" applyFont="1" applyFill="1" applyBorder="1" applyAlignment="1">
      <alignment horizontal="center" vertical="center"/>
    </xf>
    <xf numFmtId="0" fontId="25" fillId="4" borderId="5" xfId="12" applyFont="1" applyFill="1" applyBorder="1" applyAlignment="1">
      <alignment horizontal="center" vertical="center"/>
    </xf>
    <xf numFmtId="0" fontId="28" fillId="3" borderId="63" xfId="12" applyFont="1" applyFill="1" applyBorder="1" applyAlignment="1">
      <alignment vertical="center"/>
    </xf>
    <xf numFmtId="0" fontId="28" fillId="3" borderId="64" xfId="12" applyFont="1" applyFill="1" applyBorder="1"/>
    <xf numFmtId="165" fontId="28" fillId="3" borderId="0" xfId="12" applyNumberFormat="1" applyFont="1" applyFill="1" applyAlignment="1">
      <alignment horizontal="center" vertical="center"/>
    </xf>
    <xf numFmtId="0" fontId="26" fillId="0" borderId="13" xfId="12" applyFont="1" applyBorder="1" applyAlignment="1">
      <alignment horizontal="center" vertical="center"/>
    </xf>
    <xf numFmtId="2" fontId="16" fillId="0" borderId="13" xfId="12" applyNumberFormat="1" applyBorder="1" applyAlignment="1">
      <alignment horizontal="center" vertical="center"/>
    </xf>
    <xf numFmtId="2" fontId="26" fillId="0" borderId="13" xfId="12" applyNumberFormat="1" applyFont="1" applyBorder="1" applyAlignment="1">
      <alignment horizontal="center" vertical="center"/>
    </xf>
    <xf numFmtId="0" fontId="26" fillId="3" borderId="19" xfId="12" applyFont="1" applyFill="1" applyBorder="1" applyAlignment="1">
      <alignment horizontal="center" vertical="center" wrapText="1"/>
    </xf>
    <xf numFmtId="2" fontId="16" fillId="0" borderId="14" xfId="12" applyNumberFormat="1" applyBorder="1" applyAlignment="1">
      <alignment horizontal="center" vertical="center"/>
    </xf>
    <xf numFmtId="0" fontId="16" fillId="3" borderId="19" xfId="12" applyFill="1" applyBorder="1" applyAlignment="1">
      <alignment horizontal="center" vertical="center" wrapText="1"/>
    </xf>
    <xf numFmtId="0" fontId="16" fillId="3" borderId="19" xfId="12" applyFill="1" applyBorder="1" applyAlignment="1">
      <alignment horizontal="center" vertical="center"/>
    </xf>
    <xf numFmtId="0" fontId="26" fillId="0" borderId="22" xfId="12" applyFont="1" applyBorder="1" applyAlignment="1">
      <alignment horizontal="center" vertical="center"/>
    </xf>
    <xf numFmtId="2" fontId="26" fillId="0" borderId="22" xfId="12" applyNumberFormat="1" applyFont="1" applyBorder="1" applyAlignment="1">
      <alignment horizontal="center" vertical="center"/>
    </xf>
    <xf numFmtId="2" fontId="16" fillId="0" borderId="23" xfId="12" applyNumberFormat="1" applyBorder="1" applyAlignment="1">
      <alignment horizontal="center" vertical="center"/>
    </xf>
    <xf numFmtId="0" fontId="26" fillId="3" borderId="53" xfId="12" applyFont="1" applyFill="1" applyBorder="1" applyAlignment="1">
      <alignment horizontal="center" vertical="center" wrapText="1"/>
    </xf>
    <xf numFmtId="0" fontId="12" fillId="0" borderId="35" xfId="12" applyFont="1" applyBorder="1" applyAlignment="1">
      <alignment horizontal="center" vertical="center" wrapText="1"/>
    </xf>
    <xf numFmtId="0" fontId="26" fillId="0" borderId="35" xfId="12" applyFont="1" applyBorder="1" applyAlignment="1">
      <alignment horizontal="center" vertical="center"/>
    </xf>
    <xf numFmtId="2" fontId="16" fillId="0" borderId="35" xfId="12" applyNumberFormat="1" applyBorder="1" applyAlignment="1">
      <alignment horizontal="center" vertical="center"/>
    </xf>
    <xf numFmtId="2" fontId="16" fillId="0" borderId="36" xfId="12" applyNumberFormat="1" applyBorder="1" applyAlignment="1">
      <alignment horizontal="center" vertical="center"/>
    </xf>
    <xf numFmtId="0" fontId="27" fillId="5" borderId="22" xfId="12" applyFont="1" applyFill="1" applyBorder="1" applyAlignment="1">
      <alignment horizontal="center" vertical="center"/>
    </xf>
    <xf numFmtId="0" fontId="0" fillId="0" borderId="0" xfId="0"/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56" fillId="0" borderId="0" xfId="0" applyFont="1" applyAlignment="1">
      <alignment horizontal="right" vertical="center"/>
    </xf>
    <xf numFmtId="0" fontId="56" fillId="0" borderId="0" xfId="0" applyFont="1" applyAlignment="1">
      <alignment horizontal="left" vertical="center"/>
    </xf>
    <xf numFmtId="0" fontId="56" fillId="0" borderId="0" xfId="0" applyFont="1" applyAlignment="1">
      <alignment vertical="center"/>
    </xf>
    <xf numFmtId="0" fontId="56" fillId="0" borderId="8" xfId="0" applyFont="1" applyBorder="1" applyAlignment="1">
      <alignment horizontal="right" vertical="center"/>
    </xf>
    <xf numFmtId="2" fontId="56" fillId="0" borderId="0" xfId="0" applyNumberFormat="1" applyFont="1" applyAlignment="1">
      <alignment horizontal="center" vertical="center"/>
    </xf>
    <xf numFmtId="4" fontId="56" fillId="0" borderId="0" xfId="0" applyNumberFormat="1" applyFont="1" applyAlignment="1">
      <alignment horizontal="center" vertical="center"/>
    </xf>
    <xf numFmtId="3" fontId="56" fillId="0" borderId="0" xfId="0" applyNumberFormat="1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57" fillId="0" borderId="0" xfId="0" applyFont="1" applyAlignment="1">
      <alignment horizontal="right" vertical="center"/>
    </xf>
    <xf numFmtId="2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vertical="center"/>
    </xf>
    <xf numFmtId="0" fontId="0" fillId="3" borderId="0" xfId="0" applyFill="1"/>
    <xf numFmtId="0" fontId="56" fillId="0" borderId="28" xfId="0" applyFont="1" applyBorder="1" applyAlignment="1">
      <alignment horizontal="center" vertical="center"/>
    </xf>
    <xf numFmtId="0" fontId="56" fillId="0" borderId="40" xfId="0" applyFont="1" applyBorder="1" applyAlignment="1">
      <alignment horizontal="center" vertical="center" wrapText="1"/>
    </xf>
    <xf numFmtId="0" fontId="56" fillId="0" borderId="40" xfId="0" applyFont="1" applyBorder="1" applyAlignment="1">
      <alignment horizontal="center" vertical="center"/>
    </xf>
    <xf numFmtId="2" fontId="20" fillId="3" borderId="13" xfId="7" applyNumberFormat="1" applyFont="1" applyFill="1" applyBorder="1" applyAlignment="1">
      <alignment horizontal="center" vertical="center"/>
    </xf>
    <xf numFmtId="4" fontId="28" fillId="3" borderId="4" xfId="12" applyNumberFormat="1" applyFont="1" applyFill="1" applyBorder="1"/>
    <xf numFmtId="0" fontId="9" fillId="0" borderId="0" xfId="49" applyAlignment="1">
      <alignment vertical="center"/>
    </xf>
    <xf numFmtId="0" fontId="56" fillId="5" borderId="13" xfId="49" applyFont="1" applyFill="1" applyBorder="1" applyAlignment="1">
      <alignment horizontal="center" vertical="center" wrapText="1"/>
    </xf>
    <xf numFmtId="2" fontId="9" fillId="0" borderId="13" xfId="49" applyNumberFormat="1" applyBorder="1" applyAlignment="1">
      <alignment horizontal="center" vertical="center"/>
    </xf>
    <xf numFmtId="169" fontId="9" fillId="0" borderId="13" xfId="49" applyNumberFormat="1" applyBorder="1" applyAlignment="1">
      <alignment horizontal="center" vertical="center"/>
    </xf>
    <xf numFmtId="0" fontId="60" fillId="0" borderId="0" xfId="49" applyFont="1" applyAlignment="1">
      <alignment horizontal="right" vertical="center"/>
    </xf>
    <xf numFmtId="0" fontId="56" fillId="5" borderId="19" xfId="49" applyFont="1" applyFill="1" applyBorder="1" applyAlignment="1">
      <alignment horizontal="center" vertical="center"/>
    </xf>
    <xf numFmtId="0" fontId="31" fillId="9" borderId="45" xfId="0" applyFont="1" applyFill="1" applyBorder="1" applyAlignment="1">
      <alignment horizontal="left" vertical="center" wrapText="1"/>
    </xf>
    <xf numFmtId="0" fontId="57" fillId="5" borderId="13" xfId="49" applyFont="1" applyFill="1" applyBorder="1" applyAlignment="1">
      <alignment horizontal="center" vertical="center" wrapText="1"/>
    </xf>
    <xf numFmtId="0" fontId="57" fillId="5" borderId="14" xfId="49" applyFont="1" applyFill="1" applyBorder="1" applyAlignment="1">
      <alignment horizontal="center" vertical="center" wrapText="1"/>
    </xf>
    <xf numFmtId="2" fontId="24" fillId="0" borderId="13" xfId="49" applyNumberFormat="1" applyFont="1" applyBorder="1" applyAlignment="1">
      <alignment horizontal="center" vertical="center"/>
    </xf>
    <xf numFmtId="2" fontId="24" fillId="0" borderId="14" xfId="49" applyNumberFormat="1" applyFont="1" applyBorder="1" applyAlignment="1">
      <alignment horizontal="center" vertical="center"/>
    </xf>
    <xf numFmtId="2" fontId="57" fillId="0" borderId="22" xfId="49" applyNumberFormat="1" applyFont="1" applyBorder="1" applyAlignment="1">
      <alignment horizontal="center" vertical="center"/>
    </xf>
    <xf numFmtId="2" fontId="57" fillId="0" borderId="23" xfId="49" applyNumberFormat="1" applyFont="1" applyBorder="1" applyAlignment="1">
      <alignment horizontal="center" vertical="center"/>
    </xf>
    <xf numFmtId="4" fontId="60" fillId="0" borderId="0" xfId="49" applyNumberFormat="1" applyFont="1" applyAlignment="1">
      <alignment horizontal="center" vertical="center"/>
    </xf>
    <xf numFmtId="0" fontId="60" fillId="0" borderId="0" xfId="49" applyFont="1" applyAlignment="1">
      <alignment horizontal="left" vertical="center"/>
    </xf>
    <xf numFmtId="4" fontId="31" fillId="9" borderId="45" xfId="0" applyNumberFormat="1" applyFont="1" applyFill="1" applyBorder="1" applyAlignment="1">
      <alignment horizontal="right" vertical="top" wrapText="1"/>
    </xf>
    <xf numFmtId="170" fontId="31" fillId="9" borderId="45" xfId="0" applyNumberFormat="1" applyFont="1" applyFill="1" applyBorder="1" applyAlignment="1">
      <alignment horizontal="right" vertical="top" wrapText="1"/>
    </xf>
    <xf numFmtId="2" fontId="34" fillId="9" borderId="45" xfId="0" applyNumberFormat="1" applyFont="1" applyFill="1" applyBorder="1" applyAlignment="1">
      <alignment horizontal="center" vertical="top" wrapText="1"/>
    </xf>
    <xf numFmtId="2" fontId="9" fillId="0" borderId="37" xfId="49" applyNumberFormat="1" applyBorder="1" applyAlignment="1">
      <alignment horizontal="center" vertical="center"/>
    </xf>
    <xf numFmtId="169" fontId="9" fillId="0" borderId="37" xfId="49" applyNumberFormat="1" applyBorder="1" applyAlignment="1">
      <alignment horizontal="center" vertical="center"/>
    </xf>
    <xf numFmtId="0" fontId="8" fillId="0" borderId="20" xfId="49" applyFont="1" applyBorder="1" applyAlignment="1">
      <alignment vertical="center"/>
    </xf>
    <xf numFmtId="2" fontId="8" fillId="0" borderId="37" xfId="49" applyNumberFormat="1" applyFont="1" applyBorder="1" applyAlignment="1">
      <alignment horizontal="center" vertical="center"/>
    </xf>
    <xf numFmtId="172" fontId="9" fillId="0" borderId="13" xfId="49" applyNumberFormat="1" applyBorder="1" applyAlignment="1">
      <alignment horizontal="center" vertical="center"/>
    </xf>
    <xf numFmtId="172" fontId="9" fillId="0" borderId="37" xfId="49" applyNumberFormat="1" applyBorder="1" applyAlignment="1">
      <alignment horizontal="center" vertical="center"/>
    </xf>
    <xf numFmtId="0" fontId="20" fillId="3" borderId="13" xfId="8" applyFont="1" applyFill="1" applyBorder="1" applyAlignment="1">
      <alignment horizontal="center" vertical="center" wrapText="1"/>
    </xf>
    <xf numFmtId="0" fontId="21" fillId="3" borderId="0" xfId="50" applyFont="1" applyFill="1" applyAlignment="1">
      <alignment vertical="center"/>
    </xf>
    <xf numFmtId="49" fontId="25" fillId="3" borderId="0" xfId="50" applyNumberFormat="1" applyFont="1" applyFill="1" applyAlignment="1">
      <alignment vertical="center"/>
    </xf>
    <xf numFmtId="0" fontId="28" fillId="3" borderId="0" xfId="50" applyFont="1" applyFill="1" applyAlignment="1">
      <alignment vertical="center"/>
    </xf>
    <xf numFmtId="10" fontId="21" fillId="3" borderId="0" xfId="51" applyNumberFormat="1" applyFont="1" applyFill="1" applyAlignment="1">
      <alignment vertical="center"/>
    </xf>
    <xf numFmtId="0" fontId="21" fillId="3" borderId="0" xfId="50" applyFont="1" applyFill="1" applyAlignment="1">
      <alignment horizontal="center" vertical="center"/>
    </xf>
    <xf numFmtId="0" fontId="20" fillId="3" borderId="0" xfId="50" applyFont="1" applyFill="1" applyAlignment="1">
      <alignment horizontal="center" vertical="center"/>
    </xf>
    <xf numFmtId="2" fontId="20" fillId="3" borderId="0" xfId="50" applyNumberFormat="1" applyFont="1" applyFill="1" applyAlignment="1">
      <alignment horizontal="center" vertical="center"/>
    </xf>
    <xf numFmtId="0" fontId="38" fillId="3" borderId="0" xfId="50" applyFont="1" applyFill="1" applyAlignment="1">
      <alignment vertical="center"/>
    </xf>
    <xf numFmtId="9" fontId="21" fillId="3" borderId="0" xfId="51" applyFont="1" applyFill="1" applyAlignment="1">
      <alignment vertical="center"/>
    </xf>
    <xf numFmtId="0" fontId="28" fillId="3" borderId="0" xfId="50" applyFont="1" applyFill="1"/>
    <xf numFmtId="0" fontId="21" fillId="0" borderId="0" xfId="50" applyFont="1" applyAlignment="1">
      <alignment vertical="center"/>
    </xf>
    <xf numFmtId="49" fontId="21" fillId="0" borderId="0" xfId="50" applyNumberFormat="1" applyFont="1" applyAlignment="1">
      <alignment vertical="center"/>
    </xf>
    <xf numFmtId="0" fontId="20" fillId="0" borderId="54" xfId="52" applyFont="1" applyBorder="1" applyAlignment="1">
      <alignment vertical="center"/>
    </xf>
    <xf numFmtId="0" fontId="21" fillId="0" borderId="1" xfId="52" applyFont="1" applyBorder="1" applyAlignment="1">
      <alignment vertical="center"/>
    </xf>
    <xf numFmtId="0" fontId="21" fillId="0" borderId="1" xfId="52" applyFont="1" applyBorder="1" applyAlignment="1">
      <alignment horizontal="left" vertical="center"/>
    </xf>
    <xf numFmtId="0" fontId="20" fillId="15" borderId="1" xfId="52" applyFont="1" applyFill="1" applyBorder="1" applyAlignment="1">
      <alignment horizontal="left" vertical="center"/>
    </xf>
    <xf numFmtId="0" fontId="21" fillId="15" borderId="55" xfId="52" applyFont="1" applyFill="1" applyBorder="1" applyAlignment="1">
      <alignment vertical="center"/>
    </xf>
    <xf numFmtId="10" fontId="21" fillId="0" borderId="0" xfId="51" applyNumberFormat="1" applyFont="1" applyAlignment="1">
      <alignment vertical="center"/>
    </xf>
    <xf numFmtId="0" fontId="21" fillId="0" borderId="0" xfId="50" applyFont="1" applyAlignment="1">
      <alignment horizontal="center" vertical="center"/>
    </xf>
    <xf numFmtId="0" fontId="20" fillId="0" borderId="0" xfId="50" applyFont="1" applyAlignment="1">
      <alignment horizontal="center" vertical="center"/>
    </xf>
    <xf numFmtId="2" fontId="20" fillId="0" borderId="0" xfId="50" applyNumberFormat="1" applyFont="1" applyAlignment="1">
      <alignment horizontal="center" vertical="center"/>
    </xf>
    <xf numFmtId="0" fontId="38" fillId="0" borderId="0" xfId="50" applyFont="1" applyAlignment="1">
      <alignment vertical="center"/>
    </xf>
    <xf numFmtId="9" fontId="21" fillId="0" borderId="0" xfId="51" applyFont="1" applyAlignment="1">
      <alignment vertical="center"/>
    </xf>
    <xf numFmtId="0" fontId="39" fillId="0" borderId="0" xfId="50" applyFont="1" applyAlignment="1">
      <alignment vertical="center"/>
    </xf>
    <xf numFmtId="0" fontId="20" fillId="0" borderId="62" xfId="52" applyFont="1" applyBorder="1" applyAlignment="1">
      <alignment vertical="center"/>
    </xf>
    <xf numFmtId="0" fontId="21" fillId="0" borderId="0" xfId="52" applyFont="1" applyAlignment="1">
      <alignment vertical="center"/>
    </xf>
    <xf numFmtId="0" fontId="20" fillId="15" borderId="0" xfId="52" applyFont="1" applyFill="1" applyAlignment="1">
      <alignment horizontal="left" vertical="center"/>
    </xf>
    <xf numFmtId="0" fontId="21" fillId="15" borderId="61" xfId="52" applyFont="1" applyFill="1" applyBorder="1" applyAlignment="1">
      <alignment vertical="center"/>
    </xf>
    <xf numFmtId="0" fontId="39" fillId="0" borderId="0" xfId="50" applyFont="1" applyAlignment="1">
      <alignment vertical="center" wrapText="1"/>
    </xf>
    <xf numFmtId="10" fontId="39" fillId="0" borderId="0" xfId="51" applyNumberFormat="1" applyFont="1" applyAlignment="1">
      <alignment vertical="center"/>
    </xf>
    <xf numFmtId="0" fontId="39" fillId="0" borderId="0" xfId="50" applyFont="1" applyAlignment="1">
      <alignment horizontal="center" vertical="center"/>
    </xf>
    <xf numFmtId="0" fontId="42" fillId="0" borderId="0" xfId="50" applyFont="1" applyAlignment="1">
      <alignment horizontal="center" vertical="center"/>
    </xf>
    <xf numFmtId="2" fontId="42" fillId="0" borderId="0" xfId="50" applyNumberFormat="1" applyFont="1" applyAlignment="1">
      <alignment horizontal="center" vertical="center"/>
    </xf>
    <xf numFmtId="0" fontId="40" fillId="0" borderId="0" xfId="50" applyFont="1" applyAlignment="1">
      <alignment vertical="center"/>
    </xf>
    <xf numFmtId="9" fontId="39" fillId="0" borderId="0" xfId="51" applyFont="1" applyAlignment="1">
      <alignment vertical="center"/>
    </xf>
    <xf numFmtId="0" fontId="21" fillId="0" borderId="0" xfId="52" applyFont="1" applyAlignment="1">
      <alignment vertical="center" wrapText="1"/>
    </xf>
    <xf numFmtId="0" fontId="51" fillId="0" borderId="0" xfId="50" applyFont="1" applyAlignment="1">
      <alignment vertical="center"/>
    </xf>
    <xf numFmtId="0" fontId="21" fillId="0" borderId="49" xfId="50" applyFont="1" applyBorder="1" applyAlignment="1">
      <alignment vertical="center"/>
    </xf>
    <xf numFmtId="4" fontId="21" fillId="0" borderId="25" xfId="50" applyNumberFormat="1" applyFont="1" applyBorder="1" applyAlignment="1">
      <alignment vertical="center"/>
    </xf>
    <xf numFmtId="0" fontId="21" fillId="0" borderId="50" xfId="50" applyFont="1" applyBorder="1" applyAlignment="1">
      <alignment horizontal="right" vertical="center"/>
    </xf>
    <xf numFmtId="2" fontId="21" fillId="0" borderId="26" xfId="50" applyNumberFormat="1" applyFont="1" applyBorder="1" applyAlignment="1">
      <alignment horizontal="right" vertical="center"/>
    </xf>
    <xf numFmtId="0" fontId="21" fillId="0" borderId="63" xfId="50" applyFont="1" applyBorder="1" applyAlignment="1">
      <alignment vertical="center"/>
    </xf>
    <xf numFmtId="4" fontId="20" fillId="15" borderId="0" xfId="52" applyNumberFormat="1" applyFont="1" applyFill="1" applyAlignment="1">
      <alignment horizontal="left" vertical="center"/>
    </xf>
    <xf numFmtId="0" fontId="39" fillId="15" borderId="61" xfId="52" applyFont="1" applyFill="1" applyBorder="1" applyAlignment="1">
      <alignment vertical="center"/>
    </xf>
    <xf numFmtId="10" fontId="42" fillId="0" borderId="0" xfId="51" applyNumberFormat="1" applyFont="1" applyAlignment="1">
      <alignment vertical="center"/>
    </xf>
    <xf numFmtId="0" fontId="21" fillId="0" borderId="16" xfId="50" applyFont="1" applyBorder="1" applyAlignment="1">
      <alignment vertical="center"/>
    </xf>
    <xf numFmtId="0" fontId="21" fillId="0" borderId="12" xfId="50" applyFont="1" applyBorder="1" applyAlignment="1">
      <alignment horizontal="right" vertical="center"/>
    </xf>
    <xf numFmtId="1" fontId="21" fillId="0" borderId="14" xfId="50" applyNumberFormat="1" applyFont="1" applyBorder="1" applyAlignment="1">
      <alignment vertical="center"/>
    </xf>
    <xf numFmtId="2" fontId="21" fillId="0" borderId="0" xfId="50" applyNumberFormat="1" applyFont="1" applyAlignment="1">
      <alignment horizontal="center" vertical="center"/>
    </xf>
    <xf numFmtId="0" fontId="21" fillId="0" borderId="51" xfId="50" applyFont="1" applyBorder="1" applyAlignment="1">
      <alignment vertical="center"/>
    </xf>
    <xf numFmtId="0" fontId="21" fillId="0" borderId="22" xfId="50" applyFont="1" applyBorder="1" applyAlignment="1">
      <alignment vertical="center"/>
    </xf>
    <xf numFmtId="0" fontId="21" fillId="0" borderId="42" xfId="50" applyFont="1" applyBorder="1" applyAlignment="1">
      <alignment horizontal="right" vertical="center"/>
    </xf>
    <xf numFmtId="169" fontId="21" fillId="0" borderId="23" xfId="50" applyNumberFormat="1" applyFont="1" applyBorder="1" applyAlignment="1">
      <alignment vertical="center"/>
    </xf>
    <xf numFmtId="0" fontId="20" fillId="0" borderId="56" xfId="52" applyFont="1" applyBorder="1" applyAlignment="1">
      <alignment vertical="center"/>
    </xf>
    <xf numFmtId="0" fontId="21" fillId="0" borderId="33" xfId="52" applyFont="1" applyBorder="1" applyAlignment="1">
      <alignment vertical="center"/>
    </xf>
    <xf numFmtId="0" fontId="20" fillId="15" borderId="33" xfId="52" applyFont="1" applyFill="1" applyBorder="1" applyAlignment="1">
      <alignment horizontal="left" vertical="center"/>
    </xf>
    <xf numFmtId="0" fontId="39" fillId="15" borderId="57" xfId="52" applyFont="1" applyFill="1" applyBorder="1" applyAlignment="1">
      <alignment vertical="center"/>
    </xf>
    <xf numFmtId="0" fontId="39" fillId="3" borderId="0" xfId="50" applyFont="1" applyFill="1" applyAlignment="1">
      <alignment vertical="center"/>
    </xf>
    <xf numFmtId="0" fontId="21" fillId="3" borderId="0" xfId="50" applyFont="1" applyFill="1" applyAlignment="1">
      <alignment horizontal="right" vertical="center"/>
    </xf>
    <xf numFmtId="169" fontId="21" fillId="3" borderId="0" xfId="50" applyNumberFormat="1" applyFont="1" applyFill="1" applyAlignment="1">
      <alignment vertical="center"/>
    </xf>
    <xf numFmtId="0" fontId="21" fillId="3" borderId="0" xfId="50" applyFont="1" applyFill="1" applyAlignment="1">
      <alignment horizontal="left" vertical="center"/>
    </xf>
    <xf numFmtId="10" fontId="39" fillId="3" borderId="0" xfId="51" applyNumberFormat="1" applyFont="1" applyFill="1" applyAlignment="1">
      <alignment vertical="center"/>
    </xf>
    <xf numFmtId="0" fontId="39" fillId="3" borderId="0" xfId="50" applyFont="1" applyFill="1" applyAlignment="1">
      <alignment horizontal="center" vertical="center"/>
    </xf>
    <xf numFmtId="0" fontId="42" fillId="3" borderId="0" xfId="50" applyFont="1" applyFill="1" applyAlignment="1">
      <alignment horizontal="center" vertical="center"/>
    </xf>
    <xf numFmtId="2" fontId="42" fillId="3" borderId="0" xfId="50" applyNumberFormat="1" applyFont="1" applyFill="1" applyAlignment="1">
      <alignment horizontal="center" vertical="center"/>
    </xf>
    <xf numFmtId="0" fontId="40" fillId="3" borderId="0" xfId="50" applyFont="1" applyFill="1" applyAlignment="1">
      <alignment vertical="center"/>
    </xf>
    <xf numFmtId="9" fontId="39" fillId="3" borderId="0" xfId="51" applyFont="1" applyFill="1" applyAlignment="1">
      <alignment vertical="center"/>
    </xf>
    <xf numFmtId="0" fontId="25" fillId="3" borderId="0" xfId="50" applyFont="1" applyFill="1" applyAlignment="1">
      <alignment vertical="center"/>
    </xf>
    <xf numFmtId="0" fontId="42" fillId="3" borderId="0" xfId="50" applyFont="1" applyFill="1" applyAlignment="1">
      <alignment vertical="center"/>
    </xf>
    <xf numFmtId="0" fontId="42" fillId="5" borderId="13" xfId="50" applyFont="1" applyFill="1" applyBorder="1" applyAlignment="1">
      <alignment horizontal="center" vertical="center" textRotation="90" wrapText="1"/>
    </xf>
    <xf numFmtId="0" fontId="42" fillId="5" borderId="13" xfId="50" applyFont="1" applyFill="1" applyBorder="1" applyAlignment="1">
      <alignment horizontal="center" vertical="center" wrapText="1"/>
    </xf>
    <xf numFmtId="0" fontId="45" fillId="12" borderId="13" xfId="50" applyFont="1" applyFill="1" applyBorder="1" applyAlignment="1">
      <alignment horizontal="center" vertical="center" wrapText="1"/>
    </xf>
    <xf numFmtId="0" fontId="45" fillId="16" borderId="13" xfId="50" applyFont="1" applyFill="1" applyBorder="1" applyAlignment="1">
      <alignment horizontal="center" vertical="center" wrapText="1"/>
    </xf>
    <xf numFmtId="0" fontId="42" fillId="5" borderId="14" xfId="50" applyFont="1" applyFill="1" applyBorder="1" applyAlignment="1">
      <alignment horizontal="center" vertical="center" wrapText="1"/>
    </xf>
    <xf numFmtId="37" fontId="42" fillId="5" borderId="13" xfId="50" applyNumberFormat="1" applyFont="1" applyFill="1" applyBorder="1" applyAlignment="1">
      <alignment horizontal="center" vertical="center" textRotation="90" wrapText="1"/>
    </xf>
    <xf numFmtId="9" fontId="42" fillId="5" borderId="13" xfId="51" applyFont="1" applyFill="1" applyBorder="1" applyAlignment="1">
      <alignment horizontal="center" vertical="center" textRotation="90" wrapText="1"/>
    </xf>
    <xf numFmtId="0" fontId="42" fillId="11" borderId="16" xfId="50" applyFont="1" applyFill="1" applyBorder="1" applyAlignment="1">
      <alignment vertical="center"/>
    </xf>
    <xf numFmtId="0" fontId="42" fillId="5" borderId="2" xfId="50" applyFont="1" applyFill="1" applyBorder="1" applyAlignment="1">
      <alignment vertical="center"/>
    </xf>
    <xf numFmtId="0" fontId="42" fillId="5" borderId="2" xfId="50" applyFont="1" applyFill="1" applyBorder="1" applyAlignment="1">
      <alignment horizontal="center" vertical="center" textRotation="90" wrapText="1"/>
    </xf>
    <xf numFmtId="0" fontId="42" fillId="5" borderId="2" xfId="50" applyFont="1" applyFill="1" applyBorder="1" applyAlignment="1">
      <alignment horizontal="center" vertical="center" wrapText="1"/>
    </xf>
    <xf numFmtId="10" fontId="42" fillId="5" borderId="2" xfId="51" applyNumberFormat="1" applyFont="1" applyFill="1" applyBorder="1" applyAlignment="1">
      <alignment vertical="center"/>
    </xf>
    <xf numFmtId="0" fontId="42" fillId="5" borderId="33" xfId="50" applyFont="1" applyFill="1" applyBorder="1" applyAlignment="1">
      <alignment vertical="center"/>
    </xf>
    <xf numFmtId="0" fontId="42" fillId="5" borderId="33" xfId="50" applyFont="1" applyFill="1" applyBorder="1" applyAlignment="1">
      <alignment horizontal="center" vertical="center" wrapText="1"/>
    </xf>
    <xf numFmtId="0" fontId="40" fillId="5" borderId="2" xfId="50" applyFont="1" applyFill="1" applyBorder="1" applyAlignment="1">
      <alignment vertical="center"/>
    </xf>
    <xf numFmtId="0" fontId="45" fillId="12" borderId="12" xfId="50" applyFont="1" applyFill="1" applyBorder="1" applyAlignment="1">
      <alignment horizontal="center" vertical="center" wrapText="1"/>
    </xf>
    <xf numFmtId="0" fontId="45" fillId="12" borderId="15" xfId="50" applyFont="1" applyFill="1" applyBorder="1" applyAlignment="1">
      <alignment horizontal="center" vertical="center" wrapText="1"/>
    </xf>
    <xf numFmtId="0" fontId="42" fillId="5" borderId="34" xfId="50" applyFont="1" applyFill="1" applyBorder="1" applyAlignment="1">
      <alignment horizontal="center" vertical="center" wrapText="1"/>
    </xf>
    <xf numFmtId="37" fontId="20" fillId="11" borderId="20" xfId="27" applyNumberFormat="1" applyFont="1" applyFill="1" applyBorder="1" applyAlignment="1" applyProtection="1">
      <alignment horizontal="center" vertical="center" wrapText="1"/>
    </xf>
    <xf numFmtId="39" fontId="27" fillId="5" borderId="37" xfId="50" applyNumberFormat="1" applyFont="1" applyFill="1" applyBorder="1" applyAlignment="1">
      <alignment horizontal="center" vertical="center" wrapText="1"/>
    </xf>
    <xf numFmtId="37" fontId="27" fillId="5" borderId="37" xfId="50" applyNumberFormat="1" applyFont="1" applyFill="1" applyBorder="1" applyAlignment="1">
      <alignment horizontal="center" vertical="center" wrapText="1"/>
    </xf>
    <xf numFmtId="9" fontId="27" fillId="5" borderId="37" xfId="51" applyFont="1" applyFill="1" applyBorder="1" applyAlignment="1">
      <alignment horizontal="center" vertical="center" wrapText="1"/>
    </xf>
    <xf numFmtId="49" fontId="20" fillId="11" borderId="19" xfId="50" applyNumberFormat="1" applyFont="1" applyFill="1" applyBorder="1" applyAlignment="1">
      <alignment vertical="center"/>
    </xf>
    <xf numFmtId="2" fontId="21" fillId="0" borderId="13" xfId="16" applyNumberFormat="1" applyFont="1" applyFill="1" applyBorder="1" applyAlignment="1">
      <alignment vertical="center"/>
    </xf>
    <xf numFmtId="4" fontId="21" fillId="0" borderId="13" xfId="50" applyNumberFormat="1" applyFont="1" applyBorder="1" applyAlignment="1">
      <alignment vertical="center"/>
    </xf>
    <xf numFmtId="164" fontId="21" fillId="0" borderId="13" xfId="50" applyNumberFormat="1" applyFont="1" applyBorder="1" applyAlignment="1">
      <alignment vertical="center"/>
    </xf>
    <xf numFmtId="10" fontId="21" fillId="0" borderId="13" xfId="51" applyNumberFormat="1" applyFont="1" applyFill="1" applyBorder="1" applyAlignment="1">
      <alignment vertical="center"/>
    </xf>
    <xf numFmtId="172" fontId="21" fillId="0" borderId="13" xfId="17" applyNumberFormat="1" applyFont="1" applyFill="1" applyBorder="1" applyAlignment="1">
      <alignment vertical="center"/>
    </xf>
    <xf numFmtId="4" fontId="48" fillId="12" borderId="13" xfId="50" applyNumberFormat="1" applyFont="1" applyFill="1" applyBorder="1" applyAlignment="1">
      <alignment horizontal="center" vertical="center"/>
    </xf>
    <xf numFmtId="4" fontId="38" fillId="6" borderId="13" xfId="50" applyNumberFormat="1" applyFont="1" applyFill="1" applyBorder="1" applyAlignment="1">
      <alignment horizontal="center" vertical="center"/>
    </xf>
    <xf numFmtId="3" fontId="20" fillId="6" borderId="13" xfId="50" applyNumberFormat="1" applyFont="1" applyFill="1" applyBorder="1" applyAlignment="1">
      <alignment horizontal="center" vertical="center"/>
    </xf>
    <xf numFmtId="3" fontId="20" fillId="0" borderId="13" xfId="50" applyNumberFormat="1" applyFont="1" applyBorder="1" applyAlignment="1">
      <alignment horizontal="center" vertical="center"/>
    </xf>
    <xf numFmtId="2" fontId="20" fillId="13" borderId="13" xfId="50" applyNumberFormat="1" applyFont="1" applyFill="1" applyBorder="1" applyAlignment="1">
      <alignment horizontal="center" vertical="center"/>
    </xf>
    <xf numFmtId="4" fontId="61" fillId="12" borderId="13" xfId="50" applyNumberFormat="1" applyFont="1" applyFill="1" applyBorder="1" applyAlignment="1">
      <alignment horizontal="center" vertical="center"/>
    </xf>
    <xf numFmtId="164" fontId="38" fillId="0" borderId="13" xfId="50" applyNumberFormat="1" applyFont="1" applyBorder="1" applyAlignment="1">
      <alignment vertical="center"/>
    </xf>
    <xf numFmtId="164" fontId="21" fillId="0" borderId="13" xfId="50" applyNumberFormat="1" applyFont="1" applyBorder="1" applyAlignment="1">
      <alignment horizontal="center" vertical="center"/>
    </xf>
    <xf numFmtId="164" fontId="49" fillId="12" borderId="13" xfId="50" applyNumberFormat="1" applyFont="1" applyFill="1" applyBorder="1" applyAlignment="1">
      <alignment horizontal="center" vertical="center"/>
    </xf>
    <xf numFmtId="4" fontId="21" fillId="0" borderId="14" xfId="50" applyNumberFormat="1" applyFont="1" applyBorder="1" applyAlignment="1">
      <alignment vertical="center"/>
    </xf>
    <xf numFmtId="4" fontId="21" fillId="3" borderId="0" xfId="50" applyNumberFormat="1" applyFont="1" applyFill="1" applyAlignment="1">
      <alignment vertical="center"/>
    </xf>
    <xf numFmtId="4" fontId="50" fillId="3" borderId="13" xfId="50" applyNumberFormat="1" applyFont="1" applyFill="1" applyBorder="1" applyAlignment="1">
      <alignment horizontal="center" vertical="center" wrapText="1"/>
    </xf>
    <xf numFmtId="3" fontId="50" fillId="0" borderId="13" xfId="50" applyNumberFormat="1" applyFont="1" applyBorder="1" applyAlignment="1">
      <alignment horizontal="center" vertical="center" wrapText="1"/>
    </xf>
    <xf numFmtId="0" fontId="50" fillId="0" borderId="13" xfId="50" applyFont="1" applyBorder="1" applyAlignment="1">
      <alignment horizontal="center" vertical="center" wrapText="1"/>
    </xf>
    <xf numFmtId="4" fontId="50" fillId="0" borderId="13" xfId="50" applyNumberFormat="1" applyFont="1" applyBorder="1" applyAlignment="1">
      <alignment horizontal="center" vertical="center" wrapText="1"/>
    </xf>
    <xf numFmtId="1" fontId="50" fillId="0" borderId="13" xfId="50" applyNumberFormat="1" applyFont="1" applyBorder="1" applyAlignment="1">
      <alignment horizontal="center" vertical="center" wrapText="1"/>
    </xf>
    <xf numFmtId="9" fontId="50" fillId="0" borderId="13" xfId="51" applyFont="1" applyFill="1" applyBorder="1" applyAlignment="1">
      <alignment horizontal="center" vertical="center" wrapText="1"/>
    </xf>
    <xf numFmtId="4" fontId="21" fillId="0" borderId="0" xfId="50" applyNumberFormat="1" applyFont="1" applyAlignment="1">
      <alignment vertical="center"/>
    </xf>
    <xf numFmtId="49" fontId="51" fillId="0" borderId="0" xfId="50" applyNumberFormat="1" applyFont="1" applyAlignment="1">
      <alignment vertical="center"/>
    </xf>
    <xf numFmtId="49" fontId="20" fillId="0" borderId="0" xfId="50" applyNumberFormat="1" applyFont="1" applyAlignment="1">
      <alignment vertical="center"/>
    </xf>
    <xf numFmtId="164" fontId="21" fillId="0" borderId="0" xfId="50" applyNumberFormat="1" applyFont="1" applyAlignment="1">
      <alignment vertical="center"/>
    </xf>
    <xf numFmtId="10" fontId="20" fillId="0" borderId="0" xfId="51" applyNumberFormat="1" applyFont="1" applyFill="1" applyBorder="1" applyAlignment="1">
      <alignment vertical="center"/>
    </xf>
    <xf numFmtId="3" fontId="21" fillId="0" borderId="0" xfId="50" applyNumberFormat="1" applyFont="1" applyAlignment="1">
      <alignment vertical="center"/>
    </xf>
    <xf numFmtId="4" fontId="48" fillId="0" borderId="0" xfId="50" applyNumberFormat="1" applyFont="1" applyAlignment="1">
      <alignment horizontal="center" vertical="center"/>
    </xf>
    <xf numFmtId="4" fontId="38" fillId="0" borderId="0" xfId="50" applyNumberFormat="1" applyFont="1" applyAlignment="1">
      <alignment horizontal="center" vertical="center"/>
    </xf>
    <xf numFmtId="49" fontId="21" fillId="3" borderId="0" xfId="50" applyNumberFormat="1" applyFont="1" applyFill="1" applyAlignment="1">
      <alignment vertical="center"/>
    </xf>
    <xf numFmtId="4" fontId="21" fillId="3" borderId="0" xfId="50" applyNumberFormat="1" applyFont="1" applyFill="1" applyAlignment="1">
      <alignment horizontal="center" vertical="center" wrapText="1"/>
    </xf>
    <xf numFmtId="39" fontId="51" fillId="3" borderId="0" xfId="50" applyNumberFormat="1" applyFont="1" applyFill="1" applyAlignment="1">
      <alignment vertical="center"/>
    </xf>
    <xf numFmtId="39" fontId="51" fillId="3" borderId="0" xfId="50" applyNumberFormat="1" applyFont="1" applyFill="1" applyAlignment="1">
      <alignment vertical="center" wrapText="1"/>
    </xf>
    <xf numFmtId="39" fontId="21" fillId="3" borderId="0" xfId="50" applyNumberFormat="1" applyFont="1" applyFill="1" applyAlignment="1">
      <alignment horizontal="center" vertical="center" wrapText="1"/>
    </xf>
    <xf numFmtId="39" fontId="21" fillId="3" borderId="0" xfId="50" applyNumberFormat="1" applyFont="1" applyFill="1" applyAlignment="1">
      <alignment horizontal="left" vertical="center"/>
    </xf>
    <xf numFmtId="9" fontId="21" fillId="3" borderId="0" xfId="51" applyFont="1" applyFill="1" applyAlignment="1">
      <alignment horizontal="center" vertical="center" wrapText="1"/>
    </xf>
    <xf numFmtId="0" fontId="21" fillId="3" borderId="0" xfId="50" applyFont="1" applyFill="1" applyAlignment="1">
      <alignment vertical="center" wrapText="1"/>
    </xf>
    <xf numFmtId="49" fontId="21" fillId="3" borderId="0" xfId="50" applyNumberFormat="1" applyFont="1" applyFill="1" applyAlignment="1">
      <alignment vertical="center" wrapText="1"/>
    </xf>
    <xf numFmtId="10" fontId="21" fillId="3" borderId="0" xfId="51" applyNumberFormat="1" applyFont="1" applyFill="1" applyAlignment="1">
      <alignment vertical="center" wrapText="1"/>
    </xf>
    <xf numFmtId="0" fontId="21" fillId="3" borderId="0" xfId="50" applyFont="1" applyFill="1" applyAlignment="1">
      <alignment horizontal="center" vertical="center" wrapText="1"/>
    </xf>
    <xf numFmtId="0" fontId="20" fillId="3" borderId="0" xfId="50" applyFont="1" applyFill="1" applyAlignment="1">
      <alignment horizontal="center" vertical="center" wrapText="1"/>
    </xf>
    <xf numFmtId="2" fontId="20" fillId="3" borderId="0" xfId="50" applyNumberFormat="1" applyFont="1" applyFill="1" applyAlignment="1">
      <alignment horizontal="center" vertical="center" wrapText="1"/>
    </xf>
    <xf numFmtId="0" fontId="38" fillId="3" borderId="0" xfId="50" applyFont="1" applyFill="1" applyAlignment="1">
      <alignment vertical="center" wrapText="1"/>
    </xf>
    <xf numFmtId="39" fontId="20" fillId="3" borderId="0" xfId="50" applyNumberFormat="1" applyFont="1" applyFill="1" applyAlignment="1">
      <alignment horizontal="center" vertical="center" wrapText="1"/>
    </xf>
    <xf numFmtId="39" fontId="51" fillId="3" borderId="0" xfId="50" applyNumberFormat="1" applyFont="1" applyFill="1" applyAlignment="1">
      <alignment horizontal="left" vertical="center"/>
    </xf>
    <xf numFmtId="37" fontId="21" fillId="3" borderId="13" xfId="50" applyNumberFormat="1" applyFont="1" applyFill="1" applyBorder="1" applyAlignment="1">
      <alignment horizontal="center" vertical="center" wrapText="1"/>
    </xf>
    <xf numFmtId="37" fontId="21" fillId="3" borderId="0" xfId="50" applyNumberFormat="1" applyFont="1" applyFill="1" applyAlignment="1">
      <alignment horizontal="center" vertical="center" wrapText="1"/>
    </xf>
    <xf numFmtId="173" fontId="21" fillId="3" borderId="13" xfId="50" applyNumberFormat="1" applyFont="1" applyFill="1" applyBorder="1" applyAlignment="1">
      <alignment horizontal="center" vertical="center" wrapText="1"/>
    </xf>
    <xf numFmtId="173" fontId="21" fillId="3" borderId="0" xfId="50" applyNumberFormat="1" applyFont="1" applyFill="1" applyAlignment="1">
      <alignment horizontal="center" vertical="center" wrapText="1"/>
    </xf>
    <xf numFmtId="0" fontId="43" fillId="3" borderId="0" xfId="50" applyFont="1" applyFill="1" applyAlignment="1">
      <alignment vertical="center"/>
    </xf>
    <xf numFmtId="4" fontId="42" fillId="5" borderId="13" xfId="50" applyNumberFormat="1" applyFont="1" applyFill="1" applyBorder="1" applyAlignment="1">
      <alignment horizontal="center" vertical="center" textRotation="90" wrapText="1"/>
    </xf>
    <xf numFmtId="4" fontId="21" fillId="0" borderId="13" xfId="50" applyNumberFormat="1" applyFont="1" applyBorder="1" applyAlignment="1">
      <alignment horizontal="center" vertical="center"/>
    </xf>
    <xf numFmtId="4" fontId="21" fillId="3" borderId="13" xfId="50" applyNumberFormat="1" applyFont="1" applyFill="1" applyBorder="1" applyAlignment="1">
      <alignment horizontal="center" vertical="center"/>
    </xf>
    <xf numFmtId="4" fontId="20" fillId="3" borderId="13" xfId="50" applyNumberFormat="1" applyFont="1" applyFill="1" applyBorder="1" applyAlignment="1">
      <alignment horizontal="center" vertical="center"/>
    </xf>
    <xf numFmtId="49" fontId="20" fillId="3" borderId="0" xfId="50" applyNumberFormat="1" applyFont="1" applyFill="1" applyAlignment="1">
      <alignment horizontal="center" vertical="center"/>
    </xf>
    <xf numFmtId="2" fontId="21" fillId="3" borderId="0" xfId="50" applyNumberFormat="1" applyFont="1" applyFill="1" applyAlignment="1">
      <alignment horizontal="center" vertical="center"/>
    </xf>
    <xf numFmtId="4" fontId="21" fillId="3" borderId="0" xfId="50" applyNumberFormat="1" applyFont="1" applyFill="1" applyAlignment="1">
      <alignment horizontal="center" vertical="center"/>
    </xf>
    <xf numFmtId="4" fontId="20" fillId="3" borderId="0" xfId="50" applyNumberFormat="1" applyFont="1" applyFill="1"/>
    <xf numFmtId="0" fontId="21" fillId="3" borderId="0" xfId="50" applyFont="1" applyFill="1"/>
    <xf numFmtId="2" fontId="52" fillId="3" borderId="0" xfId="50" applyNumberFormat="1" applyFont="1" applyFill="1" applyAlignment="1">
      <alignment horizontal="center" vertical="center"/>
    </xf>
    <xf numFmtId="2" fontId="20" fillId="3" borderId="0" xfId="7" applyNumberFormat="1" applyFont="1" applyFill="1" applyAlignment="1">
      <alignment horizontal="right" vertical="center"/>
    </xf>
    <xf numFmtId="4" fontId="20" fillId="3" borderId="0" xfId="50" applyNumberFormat="1" applyFont="1" applyFill="1" applyAlignment="1">
      <alignment vertical="center"/>
    </xf>
    <xf numFmtId="2" fontId="21" fillId="3" borderId="0" xfId="7" applyNumberFormat="1" applyFont="1" applyFill="1" applyAlignment="1">
      <alignment horizontal="center" vertical="center"/>
    </xf>
    <xf numFmtId="0" fontId="20" fillId="3" borderId="0" xfId="50" applyFont="1" applyFill="1" applyAlignment="1">
      <alignment horizontal="right" vertical="center"/>
    </xf>
    <xf numFmtId="4" fontId="20" fillId="3" borderId="37" xfId="50" applyNumberFormat="1" applyFont="1" applyFill="1" applyBorder="1" applyAlignment="1">
      <alignment vertical="center"/>
    </xf>
    <xf numFmtId="4" fontId="20" fillId="3" borderId="13" xfId="52" applyNumberFormat="1" applyFont="1" applyFill="1" applyBorder="1" applyAlignment="1">
      <alignment horizontal="center" vertical="center"/>
    </xf>
    <xf numFmtId="0" fontId="20" fillId="3" borderId="13" xfId="52" applyFont="1" applyFill="1" applyBorder="1" applyAlignment="1">
      <alignment horizontal="center" vertical="center"/>
    </xf>
    <xf numFmtId="4" fontId="20" fillId="3" borderId="58" xfId="50" applyNumberFormat="1" applyFont="1" applyFill="1" applyBorder="1" applyAlignment="1">
      <alignment vertical="center"/>
    </xf>
    <xf numFmtId="2" fontId="21" fillId="3" borderId="13" xfId="52" applyNumberFormat="1" applyFont="1" applyFill="1" applyBorder="1" applyAlignment="1">
      <alignment horizontal="center" vertical="center"/>
    </xf>
    <xf numFmtId="0" fontId="21" fillId="3" borderId="13" xfId="52" applyFont="1" applyFill="1" applyBorder="1" applyAlignment="1">
      <alignment horizontal="center" vertical="center"/>
    </xf>
    <xf numFmtId="169" fontId="21" fillId="3" borderId="13" xfId="52" applyNumberFormat="1" applyFont="1" applyFill="1" applyBorder="1" applyAlignment="1">
      <alignment horizontal="center" vertical="center"/>
    </xf>
    <xf numFmtId="0" fontId="20" fillId="3" borderId="0" xfId="50" applyFont="1" applyFill="1" applyAlignment="1">
      <alignment horizontal="left" vertical="center"/>
    </xf>
    <xf numFmtId="4" fontId="20" fillId="0" borderId="58" xfId="50" applyNumberFormat="1" applyFont="1" applyBorder="1" applyAlignment="1">
      <alignment vertical="center"/>
    </xf>
    <xf numFmtId="0" fontId="43" fillId="3" borderId="0" xfId="50" applyFont="1" applyFill="1" applyAlignment="1">
      <alignment vertical="center" wrapText="1"/>
    </xf>
    <xf numFmtId="9" fontId="43" fillId="3" borderId="0" xfId="51" applyFont="1" applyFill="1" applyAlignment="1">
      <alignment vertical="center" wrapText="1"/>
    </xf>
    <xf numFmtId="2" fontId="21" fillId="0" borderId="13" xfId="52" applyNumberFormat="1" applyFont="1" applyBorder="1" applyAlignment="1">
      <alignment horizontal="center" vertical="center"/>
    </xf>
    <xf numFmtId="169" fontId="21" fillId="0" borderId="13" xfId="52" applyNumberFormat="1" applyFont="1" applyBorder="1" applyAlignment="1">
      <alignment horizontal="center" vertical="center"/>
    </xf>
    <xf numFmtId="4" fontId="20" fillId="3" borderId="35" xfId="50" applyNumberFormat="1" applyFont="1" applyFill="1" applyBorder="1" applyAlignment="1">
      <alignment vertical="center"/>
    </xf>
    <xf numFmtId="4" fontId="21" fillId="3" borderId="13" xfId="52" applyNumberFormat="1" applyFont="1" applyFill="1" applyBorder="1" applyAlignment="1">
      <alignment horizontal="center" vertical="center"/>
    </xf>
    <xf numFmtId="169" fontId="21" fillId="3" borderId="0" xfId="50" applyNumberFormat="1" applyFont="1" applyFill="1" applyAlignment="1">
      <alignment horizontal="center" vertical="center"/>
    </xf>
    <xf numFmtId="164" fontId="21" fillId="3" borderId="0" xfId="50" applyNumberFormat="1" applyFont="1" applyFill="1" applyAlignment="1">
      <alignment horizontal="center" vertical="center"/>
    </xf>
    <xf numFmtId="0" fontId="54" fillId="3" borderId="0" xfId="53" applyFont="1" applyFill="1" applyAlignment="1">
      <alignment vertical="center"/>
    </xf>
    <xf numFmtId="0" fontId="20" fillId="3" borderId="0" xfId="50" applyFont="1" applyFill="1" applyAlignment="1">
      <alignment vertical="center" wrapText="1"/>
    </xf>
    <xf numFmtId="0" fontId="63" fillId="0" borderId="66" xfId="50" applyFont="1" applyBorder="1" applyAlignment="1">
      <alignment horizontal="center" vertical="top" wrapText="1"/>
    </xf>
    <xf numFmtId="10" fontId="0" fillId="0" borderId="66" xfId="51" applyNumberFormat="1" applyFont="1" applyBorder="1" applyAlignment="1">
      <alignment horizontal="center" vertical="top" wrapText="1"/>
    </xf>
    <xf numFmtId="0" fontId="21" fillId="0" borderId="13" xfId="50" applyFont="1" applyBorder="1" applyAlignment="1">
      <alignment horizontal="center" vertical="center" wrapText="1"/>
    </xf>
    <xf numFmtId="0" fontId="21" fillId="0" borderId="13" xfId="50" applyFont="1" applyBorder="1" applyAlignment="1">
      <alignment horizontal="left" vertical="center" wrapText="1"/>
    </xf>
    <xf numFmtId="0" fontId="21" fillId="3" borderId="0" xfId="50" applyFont="1" applyFill="1" applyAlignment="1">
      <alignment horizontal="left" vertical="center" wrapText="1"/>
    </xf>
    <xf numFmtId="172" fontId="65" fillId="0" borderId="67" xfId="50" applyNumberFormat="1" applyFont="1" applyBorder="1" applyAlignment="1">
      <alignment horizontal="center" vertical="top" shrinkToFit="1"/>
    </xf>
    <xf numFmtId="10" fontId="65" fillId="0" borderId="67" xfId="51" applyNumberFormat="1" applyFont="1" applyBorder="1" applyAlignment="1">
      <alignment horizontal="center" vertical="top" shrinkToFit="1"/>
    </xf>
    <xf numFmtId="172" fontId="65" fillId="0" borderId="68" xfId="50" applyNumberFormat="1" applyFont="1" applyBorder="1" applyAlignment="1">
      <alignment horizontal="center" vertical="top" shrinkToFit="1"/>
    </xf>
    <xf numFmtId="10" fontId="65" fillId="0" borderId="68" xfId="51" applyNumberFormat="1" applyFont="1" applyBorder="1" applyAlignment="1">
      <alignment horizontal="center" vertical="top" shrinkToFit="1"/>
    </xf>
    <xf numFmtId="172" fontId="35" fillId="3" borderId="0" xfId="16" applyNumberFormat="1" applyFont="1" applyFill="1" applyBorder="1" applyAlignment="1">
      <alignment horizontal="left" vertical="center" wrapText="1"/>
    </xf>
    <xf numFmtId="2" fontId="35" fillId="3" borderId="0" xfId="16" applyNumberFormat="1" applyFont="1" applyFill="1" applyBorder="1" applyAlignment="1">
      <alignment horizontal="left" vertical="center" wrapText="1"/>
    </xf>
    <xf numFmtId="0" fontId="63" fillId="0" borderId="68" xfId="50" applyFont="1" applyBorder="1" applyAlignment="1">
      <alignment horizontal="center" vertical="top" wrapText="1"/>
    </xf>
    <xf numFmtId="172" fontId="65" fillId="0" borderId="69" xfId="50" applyNumberFormat="1" applyFont="1" applyBorder="1" applyAlignment="1">
      <alignment horizontal="center" vertical="top" shrinkToFit="1"/>
    </xf>
    <xf numFmtId="10" fontId="65" fillId="0" borderId="69" xfId="51" applyNumberFormat="1" applyFont="1" applyBorder="1" applyAlignment="1">
      <alignment horizontal="center" vertical="top" shrinkToFit="1"/>
    </xf>
    <xf numFmtId="0" fontId="7" fillId="3" borderId="19" xfId="12" applyFont="1" applyFill="1" applyBorder="1" applyAlignment="1">
      <alignment horizontal="center" vertical="center" wrapText="1"/>
    </xf>
    <xf numFmtId="0" fontId="20" fillId="4" borderId="31" xfId="7" applyFont="1" applyFill="1" applyBorder="1" applyAlignment="1">
      <alignment horizontal="center" vertical="center" wrapText="1"/>
    </xf>
    <xf numFmtId="0" fontId="20" fillId="4" borderId="13" xfId="7" applyFont="1" applyFill="1" applyBorder="1" applyAlignment="1">
      <alignment horizontal="center" vertical="center" wrapText="1"/>
    </xf>
    <xf numFmtId="0" fontId="20" fillId="4" borderId="14" xfId="7" applyFont="1" applyFill="1" applyBorder="1" applyAlignment="1">
      <alignment horizontal="center" vertical="center" wrapText="1"/>
    </xf>
    <xf numFmtId="0" fontId="21" fillId="0" borderId="11" xfId="8" applyFont="1" applyBorder="1" applyAlignment="1">
      <alignment horizontal="center" vertical="center" wrapText="1"/>
    </xf>
    <xf numFmtId="3" fontId="21" fillId="0" borderId="19" xfId="8" applyNumberFormat="1" applyFont="1" applyBorder="1" applyAlignment="1">
      <alignment horizontal="center" vertical="center"/>
    </xf>
    <xf numFmtId="0" fontId="21" fillId="0" borderId="13" xfId="8" applyFont="1" applyBorder="1" applyAlignment="1">
      <alignment vertical="center"/>
    </xf>
    <xf numFmtId="4" fontId="21" fillId="0" borderId="13" xfId="8" applyNumberFormat="1" applyFont="1" applyBorder="1" applyAlignment="1">
      <alignment horizontal="center" vertical="center"/>
    </xf>
    <xf numFmtId="3" fontId="21" fillId="0" borderId="13" xfId="8" applyNumberFormat="1" applyFont="1" applyBorder="1" applyAlignment="1">
      <alignment horizontal="center" vertical="center"/>
    </xf>
    <xf numFmtId="0" fontId="21" fillId="0" borderId="13" xfId="8" applyFont="1" applyBorder="1" applyAlignment="1">
      <alignment horizontal="center" vertical="center"/>
    </xf>
    <xf numFmtId="4" fontId="21" fillId="0" borderId="14" xfId="8" applyNumberFormat="1" applyFont="1" applyBorder="1" applyAlignment="1">
      <alignment horizontal="center" vertical="center"/>
    </xf>
    <xf numFmtId="4" fontId="21" fillId="0" borderId="12" xfId="8" applyNumberFormat="1" applyFont="1" applyBorder="1" applyAlignment="1">
      <alignment horizontal="center" vertical="center"/>
    </xf>
    <xf numFmtId="4" fontId="21" fillId="0" borderId="15" xfId="8" applyNumberFormat="1" applyFont="1" applyBorder="1" applyAlignment="1">
      <alignment horizontal="center" vertical="center"/>
    </xf>
    <xf numFmtId="4" fontId="21" fillId="0" borderId="19" xfId="9" applyNumberFormat="1" applyFont="1" applyFill="1" applyBorder="1" applyAlignment="1">
      <alignment horizontal="center" vertical="center"/>
    </xf>
    <xf numFmtId="4" fontId="21" fillId="0" borderId="14" xfId="9" applyNumberFormat="1" applyFont="1" applyFill="1" applyBorder="1" applyAlignment="1">
      <alignment horizontal="center" vertical="center"/>
    </xf>
    <xf numFmtId="4" fontId="21" fillId="0" borderId="13" xfId="9" applyNumberFormat="1" applyFont="1" applyFill="1" applyBorder="1" applyAlignment="1">
      <alignment horizontal="center" vertical="center"/>
    </xf>
    <xf numFmtId="164" fontId="21" fillId="0" borderId="13" xfId="9" applyNumberFormat="1" applyFont="1" applyFill="1" applyBorder="1" applyAlignment="1">
      <alignment horizontal="center" vertical="center"/>
    </xf>
    <xf numFmtId="4" fontId="21" fillId="0" borderId="19" xfId="52" applyNumberFormat="1" applyFont="1" applyBorder="1" applyAlignment="1">
      <alignment horizontal="center" vertical="center"/>
    </xf>
    <xf numFmtId="4" fontId="21" fillId="0" borderId="13" xfId="52" applyNumberFormat="1" applyFont="1" applyBorder="1" applyAlignment="1">
      <alignment horizontal="center" vertical="center"/>
    </xf>
    <xf numFmtId="4" fontId="21" fillId="0" borderId="13" xfId="7" applyNumberFormat="1" applyFont="1" applyBorder="1" applyAlignment="1">
      <alignment horizontal="center" vertical="center" wrapText="1"/>
    </xf>
    <xf numFmtId="4" fontId="21" fillId="0" borderId="14" xfId="7" applyNumberFormat="1" applyFont="1" applyBorder="1" applyAlignment="1">
      <alignment horizontal="center" vertical="center" wrapText="1"/>
    </xf>
    <xf numFmtId="43" fontId="20" fillId="3" borderId="3" xfId="9" applyFont="1" applyFill="1" applyBorder="1" applyAlignment="1">
      <alignment vertical="center"/>
    </xf>
    <xf numFmtId="43" fontId="20" fillId="3" borderId="4" xfId="9" applyFont="1" applyFill="1" applyBorder="1" applyAlignment="1">
      <alignment horizontal="center" vertical="center"/>
    </xf>
    <xf numFmtId="43" fontId="20" fillId="3" borderId="4" xfId="9" applyFont="1" applyFill="1" applyBorder="1" applyAlignment="1">
      <alignment vertical="center"/>
    </xf>
    <xf numFmtId="43" fontId="20" fillId="3" borderId="39" xfId="9" applyFont="1" applyFill="1" applyBorder="1" applyAlignment="1">
      <alignment horizontal="center" vertical="center"/>
    </xf>
    <xf numFmtId="4" fontId="20" fillId="3" borderId="40" xfId="9" applyNumberFormat="1" applyFont="1" applyFill="1" applyBorder="1" applyAlignment="1">
      <alignment horizontal="center" vertical="center"/>
    </xf>
    <xf numFmtId="4" fontId="20" fillId="0" borderId="40" xfId="9" applyNumberFormat="1" applyFont="1" applyFill="1" applyBorder="1" applyAlignment="1">
      <alignment horizontal="center" vertical="center"/>
    </xf>
    <xf numFmtId="4" fontId="20" fillId="3" borderId="29" xfId="9" applyNumberFormat="1" applyFont="1" applyFill="1" applyBorder="1" applyAlignment="1">
      <alignment horizontal="center" vertical="center"/>
    </xf>
    <xf numFmtId="4" fontId="20" fillId="3" borderId="30" xfId="9" applyNumberFormat="1" applyFont="1" applyFill="1" applyBorder="1" applyAlignment="1">
      <alignment horizontal="center" vertical="center"/>
    </xf>
    <xf numFmtId="4" fontId="20" fillId="3" borderId="0" xfId="7" applyNumberFormat="1" applyFont="1" applyFill="1" applyAlignment="1">
      <alignment vertical="center"/>
    </xf>
    <xf numFmtId="43" fontId="20" fillId="0" borderId="0" xfId="9" applyFont="1" applyFill="1" applyAlignment="1">
      <alignment horizontal="left" vertical="center"/>
    </xf>
    <xf numFmtId="0" fontId="20" fillId="0" borderId="0" xfId="7" applyFont="1" applyAlignment="1">
      <alignment horizontal="right" vertical="center"/>
    </xf>
    <xf numFmtId="0" fontId="21" fillId="0" borderId="0" xfId="7" applyFont="1" applyAlignment="1">
      <alignment vertical="center"/>
    </xf>
    <xf numFmtId="43" fontId="20" fillId="0" borderId="0" xfId="9" applyFont="1" applyFill="1" applyAlignment="1">
      <alignment vertical="center"/>
    </xf>
    <xf numFmtId="4" fontId="20" fillId="0" borderId="0" xfId="7" applyNumberFormat="1" applyFont="1" applyAlignment="1">
      <alignment horizontal="right" vertical="center"/>
    </xf>
    <xf numFmtId="0" fontId="20" fillId="0" borderId="0" xfId="7" applyFont="1" applyAlignment="1">
      <alignment vertical="center"/>
    </xf>
    <xf numFmtId="4" fontId="20" fillId="3" borderId="0" xfId="7" applyNumberFormat="1" applyFont="1" applyFill="1" applyAlignment="1">
      <alignment horizontal="right" vertical="center"/>
    </xf>
    <xf numFmtId="43" fontId="20" fillId="0" borderId="0" xfId="9" applyFont="1" applyFill="1" applyAlignment="1">
      <alignment horizontal="right" vertical="center"/>
    </xf>
    <xf numFmtId="4" fontId="20" fillId="0" borderId="0" xfId="9" applyNumberFormat="1" applyFont="1" applyFill="1" applyAlignment="1">
      <alignment horizontal="right" vertical="center"/>
    </xf>
    <xf numFmtId="2" fontId="20" fillId="0" borderId="0" xfId="7" applyNumberFormat="1" applyFont="1" applyAlignment="1">
      <alignment horizontal="right" vertical="center"/>
    </xf>
    <xf numFmtId="4" fontId="20" fillId="0" borderId="0" xfId="7" applyNumberFormat="1" applyFont="1" applyAlignment="1">
      <alignment vertical="center"/>
    </xf>
    <xf numFmtId="43" fontId="21" fillId="0" borderId="0" xfId="7" applyNumberFormat="1" applyFont="1" applyAlignment="1">
      <alignment vertical="center"/>
    </xf>
    <xf numFmtId="0" fontId="20" fillId="3" borderId="0" xfId="7" applyFont="1" applyFill="1" applyAlignment="1">
      <alignment vertical="center" wrapText="1"/>
    </xf>
    <xf numFmtId="4" fontId="21" fillId="3" borderId="0" xfId="52" applyNumberFormat="1" applyFont="1" applyFill="1" applyAlignment="1">
      <alignment vertical="center"/>
    </xf>
    <xf numFmtId="4" fontId="21" fillId="3" borderId="0" xfId="54" applyNumberFormat="1" applyFont="1" applyFill="1" applyAlignment="1">
      <alignment vertical="center"/>
    </xf>
    <xf numFmtId="169" fontId="21" fillId="0" borderId="13" xfId="50" applyNumberFormat="1" applyFont="1" applyBorder="1" applyAlignment="1">
      <alignment vertical="center"/>
    </xf>
    <xf numFmtId="0" fontId="20" fillId="0" borderId="0" xfId="50" applyFont="1" applyAlignment="1">
      <alignment vertical="center"/>
    </xf>
    <xf numFmtId="39" fontId="42" fillId="5" borderId="35" xfId="50" applyNumberFormat="1" applyFont="1" applyFill="1" applyBorder="1" applyAlignment="1">
      <alignment horizontal="center" vertical="center" textRotation="90" wrapText="1"/>
    </xf>
    <xf numFmtId="39" fontId="42" fillId="5" borderId="13" xfId="50" applyNumberFormat="1" applyFont="1" applyFill="1" applyBorder="1" applyAlignment="1">
      <alignment horizontal="center" vertical="center" textRotation="90" wrapText="1"/>
    </xf>
    <xf numFmtId="39" fontId="27" fillId="5" borderId="38" xfId="50" applyNumberFormat="1" applyFont="1" applyFill="1" applyBorder="1" applyAlignment="1">
      <alignment horizontal="center" vertical="center" wrapText="1"/>
    </xf>
    <xf numFmtId="37" fontId="42" fillId="11" borderId="19" xfId="50" applyNumberFormat="1" applyFont="1" applyFill="1" applyBorder="1" applyAlignment="1">
      <alignment horizontal="center" vertical="center" wrapText="1"/>
    </xf>
    <xf numFmtId="4" fontId="50" fillId="0" borderId="14" xfId="50" applyNumberFormat="1" applyFont="1" applyBorder="1" applyAlignment="1">
      <alignment horizontal="center" vertical="center" wrapText="1"/>
    </xf>
    <xf numFmtId="37" fontId="42" fillId="11" borderId="21" xfId="50" applyNumberFormat="1" applyFont="1" applyFill="1" applyBorder="1" applyAlignment="1">
      <alignment horizontal="center" vertical="center" wrapText="1"/>
    </xf>
    <xf numFmtId="4" fontId="62" fillId="5" borderId="22" xfId="50" applyNumberFormat="1" applyFont="1" applyFill="1" applyBorder="1" applyAlignment="1">
      <alignment horizontal="center" vertical="center" wrapText="1"/>
    </xf>
    <xf numFmtId="3" fontId="62" fillId="5" borderId="22" xfId="50" applyNumberFormat="1" applyFont="1" applyFill="1" applyBorder="1" applyAlignment="1">
      <alignment horizontal="center" vertical="center" wrapText="1"/>
    </xf>
    <xf numFmtId="4" fontId="62" fillId="5" borderId="23" xfId="5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31" fillId="5" borderId="13" xfId="0" applyFont="1" applyFill="1" applyBorder="1" applyAlignment="1">
      <alignment horizontal="center" vertical="center"/>
    </xf>
    <xf numFmtId="0" fontId="37" fillId="0" borderId="13" xfId="0" applyFont="1" applyBorder="1" applyAlignment="1">
      <alignment horizontal="left" vertical="center"/>
    </xf>
    <xf numFmtId="0" fontId="37" fillId="0" borderId="13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6" fillId="0" borderId="19" xfId="49" applyFont="1" applyBorder="1" applyAlignment="1">
      <alignment vertical="center"/>
    </xf>
    <xf numFmtId="0" fontId="67" fillId="0" borderId="0" xfId="55" applyFont="1" applyAlignment="1">
      <alignment horizontal="center" wrapText="1"/>
    </xf>
    <xf numFmtId="0" fontId="25" fillId="5" borderId="19" xfId="55" applyFont="1" applyFill="1" applyBorder="1" applyAlignment="1">
      <alignment horizontal="center" vertical="center" wrapText="1"/>
    </xf>
    <xf numFmtId="0" fontId="25" fillId="5" borderId="13" xfId="55" applyFont="1" applyFill="1" applyBorder="1" applyAlignment="1">
      <alignment horizontal="center" vertical="center" wrapText="1"/>
    </xf>
    <xf numFmtId="0" fontId="25" fillId="5" borderId="14" xfId="55" applyFont="1" applyFill="1" applyBorder="1" applyAlignment="1">
      <alignment horizontal="center" vertical="center" wrapText="1"/>
    </xf>
    <xf numFmtId="0" fontId="58" fillId="0" borderId="71" xfId="55" applyFont="1" applyBorder="1" applyAlignment="1">
      <alignment horizontal="left" vertical="center" wrapText="1"/>
    </xf>
    <xf numFmtId="0" fontId="58" fillId="0" borderId="1" xfId="55" applyFont="1" applyBorder="1" applyAlignment="1">
      <alignment horizontal="center" vertical="center" wrapText="1"/>
    </xf>
    <xf numFmtId="4" fontId="58" fillId="0" borderId="1" xfId="55" applyNumberFormat="1" applyFont="1" applyBorder="1" applyAlignment="1">
      <alignment horizontal="center" vertical="center" wrapText="1"/>
    </xf>
    <xf numFmtId="4" fontId="58" fillId="0" borderId="72" xfId="55" applyNumberFormat="1" applyFont="1" applyBorder="1" applyAlignment="1">
      <alignment horizontal="center" vertical="center" wrapText="1"/>
    </xf>
    <xf numFmtId="0" fontId="58" fillId="0" borderId="16" xfId="55" applyFont="1" applyBorder="1" applyAlignment="1">
      <alignment vertical="center" wrapText="1"/>
    </xf>
    <xf numFmtId="0" fontId="58" fillId="0" borderId="2" xfId="55" applyFont="1" applyBorder="1" applyAlignment="1">
      <alignment vertical="center" wrapText="1"/>
    </xf>
    <xf numFmtId="4" fontId="58" fillId="0" borderId="2" xfId="55" applyNumberFormat="1" applyFont="1" applyBorder="1" applyAlignment="1">
      <alignment horizontal="center" vertical="center" wrapText="1"/>
    </xf>
    <xf numFmtId="4" fontId="58" fillId="0" borderId="34" xfId="55" applyNumberFormat="1" applyFont="1" applyBorder="1" applyAlignment="1">
      <alignment horizontal="center" vertical="center" wrapText="1"/>
    </xf>
    <xf numFmtId="4" fontId="58" fillId="0" borderId="16" xfId="55" applyNumberFormat="1" applyFont="1" applyBorder="1" applyAlignment="1">
      <alignment horizontal="left" vertical="center" wrapText="1"/>
    </xf>
    <xf numFmtId="4" fontId="67" fillId="0" borderId="0" xfId="55" applyNumberFormat="1" applyFont="1" applyAlignment="1">
      <alignment horizontal="center" wrapText="1"/>
    </xf>
    <xf numFmtId="4" fontId="58" fillId="0" borderId="71" xfId="55" applyNumberFormat="1" applyFont="1" applyBorder="1" applyAlignment="1">
      <alignment horizontal="left" vertical="center" wrapText="1"/>
    </xf>
    <xf numFmtId="4" fontId="58" fillId="0" borderId="16" xfId="55" applyNumberFormat="1" applyFont="1" applyBorder="1" applyAlignment="1">
      <alignment vertical="center" wrapText="1"/>
    </xf>
    <xf numFmtId="4" fontId="58" fillId="0" borderId="2" xfId="55" applyNumberFormat="1" applyFont="1" applyBorder="1" applyAlignment="1">
      <alignment vertical="center" wrapText="1"/>
    </xf>
    <xf numFmtId="164" fontId="58" fillId="0" borderId="2" xfId="55" applyNumberFormat="1" applyFont="1" applyBorder="1" applyAlignment="1">
      <alignment horizontal="center" vertical="center" wrapText="1"/>
    </xf>
    <xf numFmtId="4" fontId="58" fillId="3" borderId="51" xfId="55" applyNumberFormat="1" applyFont="1" applyFill="1" applyBorder="1" applyAlignment="1">
      <alignment horizontal="center" vertical="center" wrapText="1"/>
    </xf>
    <xf numFmtId="4" fontId="58" fillId="3" borderId="43" xfId="55" applyNumberFormat="1" applyFont="1" applyFill="1" applyBorder="1" applyAlignment="1">
      <alignment horizontal="center" vertical="center" wrapText="1"/>
    </xf>
    <xf numFmtId="4" fontId="58" fillId="0" borderId="43" xfId="55" applyNumberFormat="1" applyFont="1" applyBorder="1" applyAlignment="1">
      <alignment horizontal="center" vertical="center" wrapText="1"/>
    </xf>
    <xf numFmtId="164" fontId="58" fillId="3" borderId="43" xfId="55" applyNumberFormat="1" applyFont="1" applyFill="1" applyBorder="1" applyAlignment="1">
      <alignment horizontal="center" vertical="center" wrapText="1"/>
    </xf>
    <xf numFmtId="4" fontId="58" fillId="3" borderId="44" xfId="55" applyNumberFormat="1" applyFont="1" applyFill="1" applyBorder="1" applyAlignment="1">
      <alignment horizontal="center" vertical="center" wrapText="1"/>
    </xf>
    <xf numFmtId="0" fontId="26" fillId="3" borderId="0" xfId="50" applyFont="1" applyFill="1" applyAlignment="1">
      <alignment horizontal="center" vertical="center" textRotation="90"/>
    </xf>
    <xf numFmtId="49" fontId="20" fillId="3" borderId="0" xfId="52" applyNumberFormat="1" applyFont="1" applyFill="1" applyAlignment="1">
      <alignment horizontal="left" vertical="center"/>
    </xf>
    <xf numFmtId="4" fontId="21" fillId="3" borderId="0" xfId="52" applyNumberFormat="1" applyFont="1" applyFill="1" applyAlignment="1">
      <alignment horizontal="center" vertical="center"/>
    </xf>
    <xf numFmtId="0" fontId="20" fillId="3" borderId="0" xfId="52" applyFont="1" applyFill="1" applyAlignment="1">
      <alignment horizontal="center" vertical="center"/>
    </xf>
    <xf numFmtId="169" fontId="53" fillId="3" borderId="0" xfId="52" applyNumberFormat="1" applyFont="1" applyFill="1" applyAlignment="1">
      <alignment horizontal="center" vertical="center"/>
    </xf>
    <xf numFmtId="2" fontId="21" fillId="3" borderId="0" xfId="52" applyNumberFormat="1" applyFont="1" applyFill="1" applyAlignment="1">
      <alignment horizontal="center" vertical="center"/>
    </xf>
    <xf numFmtId="169" fontId="21" fillId="0" borderId="0" xfId="52" applyNumberFormat="1" applyFont="1" applyAlignment="1">
      <alignment horizontal="center" vertical="center"/>
    </xf>
    <xf numFmtId="169" fontId="21" fillId="3" borderId="0" xfId="52" applyNumberFormat="1" applyFont="1" applyFill="1" applyAlignment="1">
      <alignment horizontal="center" vertical="center"/>
    </xf>
    <xf numFmtId="43" fontId="26" fillId="3" borderId="13" xfId="37" applyFont="1" applyFill="1" applyBorder="1" applyAlignment="1">
      <alignment vertical="center"/>
    </xf>
    <xf numFmtId="4" fontId="26" fillId="5" borderId="13" xfId="37" applyNumberFormat="1" applyFont="1" applyFill="1" applyBorder="1" applyAlignment="1">
      <alignment vertical="center"/>
    </xf>
    <xf numFmtId="43" fontId="26" fillId="3" borderId="37" xfId="37" applyFont="1" applyFill="1" applyBorder="1" applyAlignment="1">
      <alignment vertical="center"/>
    </xf>
    <xf numFmtId="4" fontId="26" fillId="5" borderId="37" xfId="37" applyNumberFormat="1" applyFont="1" applyFill="1" applyBorder="1" applyAlignment="1">
      <alignment vertical="center"/>
    </xf>
    <xf numFmtId="4" fontId="56" fillId="3" borderId="40" xfId="37" applyNumberFormat="1" applyFont="1" applyFill="1" applyBorder="1" applyAlignment="1">
      <alignment horizontal="center" vertical="center"/>
    </xf>
    <xf numFmtId="4" fontId="56" fillId="7" borderId="40" xfId="37" applyNumberFormat="1" applyFont="1" applyFill="1" applyBorder="1" applyAlignment="1">
      <alignment horizontal="right" vertical="center"/>
    </xf>
    <xf numFmtId="4" fontId="56" fillId="5" borderId="40" xfId="37" applyNumberFormat="1" applyFont="1" applyFill="1" applyBorder="1" applyAlignment="1">
      <alignment vertical="center"/>
    </xf>
    <xf numFmtId="4" fontId="56" fillId="3" borderId="40" xfId="37" applyNumberFormat="1" applyFont="1" applyFill="1" applyBorder="1" applyAlignment="1">
      <alignment vertical="center"/>
    </xf>
    <xf numFmtId="4" fontId="56" fillId="5" borderId="40" xfId="37" applyNumberFormat="1" applyFont="1" applyFill="1" applyBorder="1" applyAlignment="1">
      <alignment horizontal="center" vertical="center"/>
    </xf>
    <xf numFmtId="4" fontId="56" fillId="3" borderId="0" xfId="37" applyNumberFormat="1" applyFont="1" applyFill="1" applyAlignment="1">
      <alignment horizontal="center" vertical="center"/>
    </xf>
    <xf numFmtId="4" fontId="56" fillId="0" borderId="0" xfId="37" applyNumberFormat="1" applyFont="1" applyAlignment="1">
      <alignment horizontal="right" vertical="center"/>
    </xf>
    <xf numFmtId="4" fontId="56" fillId="0" borderId="0" xfId="37" applyNumberFormat="1" applyFont="1" applyAlignment="1">
      <alignment vertical="center"/>
    </xf>
    <xf numFmtId="4" fontId="56" fillId="3" borderId="0" xfId="37" applyNumberFormat="1" applyFont="1" applyFill="1" applyAlignment="1">
      <alignment vertical="center"/>
    </xf>
    <xf numFmtId="4" fontId="56" fillId="0" borderId="0" xfId="37" applyNumberFormat="1" applyFont="1" applyAlignment="1">
      <alignment horizontal="center" vertical="center"/>
    </xf>
    <xf numFmtId="4" fontId="56" fillId="3" borderId="41" xfId="37" applyNumberFormat="1" applyFont="1" applyFill="1" applyBorder="1" applyAlignment="1">
      <alignment horizontal="center" vertical="center"/>
    </xf>
    <xf numFmtId="4" fontId="56" fillId="0" borderId="41" xfId="37" applyNumberFormat="1" applyFont="1" applyBorder="1" applyAlignment="1">
      <alignment horizontal="right" vertical="center"/>
    </xf>
    <xf numFmtId="4" fontId="56" fillId="0" borderId="41" xfId="37" applyNumberFormat="1" applyFont="1" applyBorder="1" applyAlignment="1">
      <alignment vertical="center"/>
    </xf>
    <xf numFmtId="4" fontId="56" fillId="0" borderId="41" xfId="37" applyNumberFormat="1" applyFont="1" applyBorder="1" applyAlignment="1">
      <alignment horizontal="center" vertical="center"/>
    </xf>
    <xf numFmtId="43" fontId="20" fillId="3" borderId="0" xfId="9" applyFont="1" applyFill="1" applyBorder="1" applyAlignment="1">
      <alignment vertical="center"/>
    </xf>
    <xf numFmtId="43" fontId="20" fillId="3" borderId="0" xfId="9" applyFont="1" applyFill="1" applyBorder="1" applyAlignment="1">
      <alignment horizontal="center" vertical="center"/>
    </xf>
    <xf numFmtId="4" fontId="20" fillId="3" borderId="0" xfId="9" applyNumberFormat="1" applyFont="1" applyFill="1" applyBorder="1" applyAlignment="1">
      <alignment horizontal="center" vertical="center"/>
    </xf>
    <xf numFmtId="4" fontId="20" fillId="0" borderId="0" xfId="9" applyNumberFormat="1" applyFont="1" applyFill="1" applyBorder="1" applyAlignment="1">
      <alignment horizontal="center" vertical="center"/>
    </xf>
    <xf numFmtId="0" fontId="21" fillId="3" borderId="13" xfId="50" applyFont="1" applyFill="1" applyBorder="1" applyAlignment="1">
      <alignment vertical="center"/>
    </xf>
    <xf numFmtId="0" fontId="21" fillId="3" borderId="1" xfId="50" applyFont="1" applyFill="1" applyBorder="1" applyAlignment="1">
      <alignment vertical="center"/>
    </xf>
    <xf numFmtId="0" fontId="27" fillId="4" borderId="37" xfId="0" applyFont="1" applyFill="1" applyBorder="1" applyAlignment="1">
      <alignment horizontal="center" vertical="center" wrapText="1"/>
    </xf>
    <xf numFmtId="43" fontId="26" fillId="3" borderId="25" xfId="37" applyFont="1" applyFill="1" applyBorder="1" applyAlignment="1">
      <alignment vertical="center"/>
    </xf>
    <xf numFmtId="4" fontId="26" fillId="5" borderId="25" xfId="37" applyNumberFormat="1" applyFont="1" applyFill="1" applyBorder="1" applyAlignment="1">
      <alignment vertical="center"/>
    </xf>
    <xf numFmtId="43" fontId="26" fillId="3" borderId="22" xfId="37" applyFont="1" applyFill="1" applyBorder="1" applyAlignment="1">
      <alignment vertical="center"/>
    </xf>
    <xf numFmtId="4" fontId="26" fillId="5" borderId="22" xfId="37" applyNumberFormat="1" applyFont="1" applyFill="1" applyBorder="1" applyAlignment="1">
      <alignment vertical="center"/>
    </xf>
    <xf numFmtId="4" fontId="21" fillId="3" borderId="0" xfId="56" applyNumberFormat="1" applyFont="1" applyFill="1" applyAlignment="1">
      <alignment vertical="center"/>
    </xf>
    <xf numFmtId="4" fontId="21" fillId="3" borderId="13" xfId="9" applyNumberFormat="1" applyFont="1" applyFill="1" applyBorder="1" applyAlignment="1">
      <alignment horizontal="center" vertical="center"/>
    </xf>
    <xf numFmtId="0" fontId="21" fillId="3" borderId="19" xfId="8" applyFont="1" applyFill="1" applyBorder="1" applyAlignment="1">
      <alignment horizontal="center" vertical="center" wrapText="1"/>
    </xf>
    <xf numFmtId="4" fontId="21" fillId="3" borderId="14" xfId="9" applyNumberFormat="1" applyFont="1" applyFill="1" applyBorder="1" applyAlignment="1">
      <alignment horizontal="center" vertical="center"/>
    </xf>
    <xf numFmtId="43" fontId="20" fillId="3" borderId="21" xfId="9" applyFont="1" applyFill="1" applyBorder="1" applyAlignment="1">
      <alignment vertical="center"/>
    </xf>
    <xf numFmtId="4" fontId="20" fillId="3" borderId="22" xfId="9" applyNumberFormat="1" applyFont="1" applyFill="1" applyBorder="1" applyAlignment="1">
      <alignment horizontal="center" vertical="center"/>
    </xf>
    <xf numFmtId="4" fontId="20" fillId="3" borderId="23" xfId="9" applyNumberFormat="1" applyFont="1" applyFill="1" applyBorder="1" applyAlignment="1">
      <alignment horizontal="center" vertical="center"/>
    </xf>
    <xf numFmtId="0" fontId="27" fillId="8" borderId="0" xfId="0" applyFont="1" applyFill="1" applyAlignment="1">
      <alignment horizontal="right" vertical="top" wrapText="1"/>
    </xf>
    <xf numFmtId="43" fontId="27" fillId="3" borderId="0" xfId="9" applyFont="1" applyFill="1" applyAlignment="1">
      <alignment vertical="center"/>
    </xf>
    <xf numFmtId="43" fontId="26" fillId="3" borderId="0" xfId="9" applyFont="1" applyFill="1" applyAlignment="1">
      <alignment vertical="center"/>
    </xf>
    <xf numFmtId="4" fontId="58" fillId="0" borderId="51" xfId="55" applyNumberFormat="1" applyFont="1" applyBorder="1" applyAlignment="1">
      <alignment horizontal="left" vertical="center" wrapText="1"/>
    </xf>
    <xf numFmtId="4" fontId="58" fillId="0" borderId="43" xfId="55" applyNumberFormat="1" applyFont="1" applyBorder="1" applyAlignment="1">
      <alignment vertical="center" wrapText="1"/>
    </xf>
    <xf numFmtId="4" fontId="58" fillId="0" borderId="44" xfId="55" applyNumberFormat="1" applyFont="1" applyBorder="1" applyAlignment="1">
      <alignment horizontal="center" vertical="center" wrapText="1"/>
    </xf>
    <xf numFmtId="4" fontId="21" fillId="3" borderId="15" xfId="9" applyNumberFormat="1" applyFont="1" applyFill="1" applyBorder="1" applyAlignment="1">
      <alignment horizontal="center" vertical="center"/>
    </xf>
    <xf numFmtId="4" fontId="20" fillId="3" borderId="76" xfId="9" applyNumberFormat="1" applyFont="1" applyFill="1" applyBorder="1" applyAlignment="1">
      <alignment horizontal="center" vertical="center"/>
    </xf>
    <xf numFmtId="0" fontId="3" fillId="3" borderId="19" xfId="12" applyFont="1" applyFill="1" applyBorder="1" applyAlignment="1">
      <alignment horizontal="center" vertical="center"/>
    </xf>
    <xf numFmtId="44" fontId="21" fillId="3" borderId="0" xfId="31" applyFont="1" applyFill="1" applyAlignment="1">
      <alignment vertical="center"/>
    </xf>
    <xf numFmtId="44" fontId="21" fillId="3" borderId="0" xfId="31" applyFont="1" applyFill="1" applyAlignment="1">
      <alignment vertical="center" wrapText="1"/>
    </xf>
    <xf numFmtId="44" fontId="21" fillId="3" borderId="0" xfId="50" applyNumberFormat="1" applyFont="1" applyFill="1" applyAlignment="1">
      <alignment vertical="center"/>
    </xf>
    <xf numFmtId="0" fontId="21" fillId="8" borderId="0" xfId="0" applyFont="1" applyFill="1" applyAlignment="1">
      <alignment horizontal="center" vertical="top" wrapText="1"/>
    </xf>
    <xf numFmtId="0" fontId="27" fillId="8" borderId="45" xfId="0" applyFont="1" applyFill="1" applyBorder="1" applyAlignment="1">
      <alignment horizontal="left" vertical="top" wrapText="1"/>
    </xf>
    <xf numFmtId="0" fontId="2" fillId="3" borderId="0" xfId="57" applyFill="1" applyAlignment="1">
      <alignment horizontal="center" vertical="center"/>
    </xf>
    <xf numFmtId="169" fontId="20" fillId="5" borderId="31" xfId="57" applyNumberFormat="1" applyFont="1" applyFill="1" applyBorder="1" applyAlignment="1">
      <alignment horizontal="center" vertical="center" wrapText="1"/>
    </xf>
    <xf numFmtId="169" fontId="20" fillId="5" borderId="24" xfId="57" applyNumberFormat="1" applyFont="1" applyFill="1" applyBorder="1" applyAlignment="1">
      <alignment horizontal="center" vertical="center" wrapText="1"/>
    </xf>
    <xf numFmtId="169" fontId="20" fillId="5" borderId="25" xfId="57" applyNumberFormat="1" applyFont="1" applyFill="1" applyBorder="1" applyAlignment="1">
      <alignment horizontal="center" vertical="center" wrapText="1"/>
    </xf>
    <xf numFmtId="169" fontId="20" fillId="5" borderId="26" xfId="57" applyNumberFormat="1" applyFont="1" applyFill="1" applyBorder="1" applyAlignment="1">
      <alignment horizontal="center" vertical="center" wrapText="1"/>
    </xf>
    <xf numFmtId="169" fontId="20" fillId="5" borderId="78" xfId="57" applyNumberFormat="1" applyFont="1" applyFill="1" applyBorder="1" applyAlignment="1">
      <alignment horizontal="center" vertical="center" wrapText="1"/>
    </xf>
    <xf numFmtId="169" fontId="20" fillId="5" borderId="49" xfId="57" applyNumberFormat="1" applyFont="1" applyFill="1" applyBorder="1" applyAlignment="1">
      <alignment horizontal="center" vertical="center" wrapText="1"/>
    </xf>
    <xf numFmtId="169" fontId="20" fillId="5" borderId="33" xfId="57" applyNumberFormat="1" applyFont="1" applyFill="1" applyBorder="1" applyAlignment="1">
      <alignment horizontal="center" vertical="center" wrapText="1"/>
    </xf>
    <xf numFmtId="169" fontId="20" fillId="5" borderId="56" xfId="57" applyNumberFormat="1" applyFont="1" applyFill="1" applyBorder="1" applyAlignment="1">
      <alignment horizontal="center" vertical="center" wrapText="1"/>
    </xf>
    <xf numFmtId="169" fontId="20" fillId="5" borderId="79" xfId="57" applyNumberFormat="1" applyFont="1" applyFill="1" applyBorder="1" applyAlignment="1">
      <alignment horizontal="center" vertical="center" wrapText="1"/>
    </xf>
    <xf numFmtId="0" fontId="21" fillId="3" borderId="16" xfId="57" applyFont="1" applyFill="1" applyBorder="1" applyAlignment="1">
      <alignment horizontal="center" vertical="center"/>
    </xf>
    <xf numFmtId="4" fontId="21" fillId="0" borderId="11" xfId="57" applyNumberFormat="1" applyFont="1" applyBorder="1" applyAlignment="1">
      <alignment horizontal="center" vertical="center"/>
    </xf>
    <xf numFmtId="4" fontId="21" fillId="0" borderId="19" xfId="58" applyNumberFormat="1" applyFont="1" applyFill="1" applyBorder="1" applyAlignment="1">
      <alignment horizontal="center" vertical="center"/>
    </xf>
    <xf numFmtId="4" fontId="21" fillId="0" borderId="13" xfId="57" applyNumberFormat="1" applyFont="1" applyBorder="1" applyAlignment="1">
      <alignment horizontal="center" vertical="center"/>
    </xf>
    <xf numFmtId="4" fontId="21" fillId="0" borderId="14" xfId="57" applyNumberFormat="1" applyFont="1" applyBorder="1" applyAlignment="1">
      <alignment horizontal="center" vertical="center"/>
    </xf>
    <xf numFmtId="4" fontId="21" fillId="3" borderId="19" xfId="58" applyNumberFormat="1" applyFont="1" applyFill="1" applyBorder="1" applyAlignment="1">
      <alignment horizontal="center" vertical="center"/>
    </xf>
    <xf numFmtId="4" fontId="21" fillId="3" borderId="13" xfId="58" applyNumberFormat="1" applyFont="1" applyFill="1" applyBorder="1" applyAlignment="1">
      <alignment horizontal="center" vertical="center"/>
    </xf>
    <xf numFmtId="4" fontId="21" fillId="3" borderId="15" xfId="58" applyNumberFormat="1" applyFont="1" applyFill="1" applyBorder="1" applyAlignment="1">
      <alignment horizontal="center" vertical="center"/>
    </xf>
    <xf numFmtId="4" fontId="21" fillId="3" borderId="14" xfId="58" applyNumberFormat="1" applyFont="1" applyFill="1" applyBorder="1" applyAlignment="1">
      <alignment horizontal="center" vertical="center"/>
    </xf>
    <xf numFmtId="4" fontId="21" fillId="3" borderId="16" xfId="58" applyNumberFormat="1" applyFont="1" applyFill="1" applyBorder="1" applyAlignment="1">
      <alignment horizontal="center" vertical="center"/>
    </xf>
    <xf numFmtId="4" fontId="21" fillId="3" borderId="2" xfId="58" applyNumberFormat="1" applyFont="1" applyFill="1" applyBorder="1" applyAlignment="1">
      <alignment horizontal="center" vertical="center"/>
    </xf>
    <xf numFmtId="4" fontId="21" fillId="3" borderId="34" xfId="57" applyNumberFormat="1" applyFont="1" applyFill="1" applyBorder="1" applyAlignment="1">
      <alignment horizontal="center" vertical="center"/>
    </xf>
    <xf numFmtId="0" fontId="26" fillId="3" borderId="0" xfId="57" applyFont="1" applyFill="1" applyAlignment="1">
      <alignment horizontal="center" vertical="center"/>
    </xf>
    <xf numFmtId="0" fontId="60" fillId="3" borderId="51" xfId="57" applyFont="1" applyFill="1" applyBorder="1" applyAlignment="1">
      <alignment horizontal="center" vertical="center"/>
    </xf>
    <xf numFmtId="4" fontId="60" fillId="3" borderId="80" xfId="57" applyNumberFormat="1" applyFont="1" applyFill="1" applyBorder="1" applyAlignment="1">
      <alignment horizontal="center" vertical="center"/>
    </xf>
    <xf numFmtId="4" fontId="60" fillId="3" borderId="21" xfId="57" applyNumberFormat="1" applyFont="1" applyFill="1" applyBorder="1" applyAlignment="1">
      <alignment horizontal="center" vertical="center"/>
    </xf>
    <xf numFmtId="4" fontId="60" fillId="3" borderId="22" xfId="57" applyNumberFormat="1" applyFont="1" applyFill="1" applyBorder="1" applyAlignment="1">
      <alignment horizontal="center" vertical="center"/>
    </xf>
    <xf numFmtId="4" fontId="60" fillId="3" borderId="23" xfId="57" applyNumberFormat="1" applyFont="1" applyFill="1" applyBorder="1" applyAlignment="1">
      <alignment horizontal="center" vertical="center"/>
    </xf>
    <xf numFmtId="4" fontId="60" fillId="3" borderId="76" xfId="57" applyNumberFormat="1" applyFont="1" applyFill="1" applyBorder="1" applyAlignment="1">
      <alignment horizontal="center" vertical="center"/>
    </xf>
    <xf numFmtId="4" fontId="60" fillId="3" borderId="51" xfId="57" applyNumberFormat="1" applyFont="1" applyFill="1" applyBorder="1" applyAlignment="1">
      <alignment horizontal="center" vertical="center"/>
    </xf>
    <xf numFmtId="4" fontId="60" fillId="3" borderId="43" xfId="57" applyNumberFormat="1" applyFont="1" applyFill="1" applyBorder="1" applyAlignment="1">
      <alignment horizontal="center" vertical="center"/>
    </xf>
    <xf numFmtId="4" fontId="60" fillId="3" borderId="44" xfId="57" applyNumberFormat="1" applyFont="1" applyFill="1" applyBorder="1" applyAlignment="1">
      <alignment horizontal="center" vertical="center"/>
    </xf>
    <xf numFmtId="0" fontId="60" fillId="3" borderId="0" xfId="57" applyFont="1" applyFill="1" applyAlignment="1">
      <alignment horizontal="right" vertical="center"/>
    </xf>
    <xf numFmtId="2" fontId="60" fillId="3" borderId="0" xfId="57" applyNumberFormat="1" applyFont="1" applyFill="1" applyAlignment="1">
      <alignment horizontal="center" vertical="center"/>
    </xf>
    <xf numFmtId="0" fontId="60" fillId="3" borderId="0" xfId="57" applyFont="1" applyFill="1" applyAlignment="1">
      <alignment horizontal="left" vertical="center"/>
    </xf>
    <xf numFmtId="4" fontId="60" fillId="3" borderId="0" xfId="57" applyNumberFormat="1" applyFont="1" applyFill="1" applyAlignment="1">
      <alignment horizontal="center" vertical="center"/>
    </xf>
    <xf numFmtId="4" fontId="9" fillId="0" borderId="13" xfId="49" applyNumberFormat="1" applyBorder="1" applyAlignment="1">
      <alignment horizontal="center" vertical="center"/>
    </xf>
    <xf numFmtId="0" fontId="27" fillId="8" borderId="0" xfId="0" applyFont="1" applyFill="1" applyAlignment="1">
      <alignment horizontal="left" vertical="top"/>
    </xf>
    <xf numFmtId="2" fontId="21" fillId="8" borderId="0" xfId="0" applyNumberFormat="1" applyFont="1" applyFill="1" applyAlignment="1">
      <alignment horizontal="center" vertical="top" wrapText="1"/>
    </xf>
    <xf numFmtId="2" fontId="27" fillId="8" borderId="45" xfId="0" applyNumberFormat="1" applyFont="1" applyFill="1" applyBorder="1" applyAlignment="1">
      <alignment horizontal="center" vertical="top" wrapText="1"/>
    </xf>
    <xf numFmtId="2" fontId="26" fillId="8" borderId="0" xfId="0" applyNumberFormat="1" applyFont="1" applyFill="1" applyAlignment="1">
      <alignment horizontal="center" vertical="top" wrapText="1"/>
    </xf>
    <xf numFmtId="2" fontId="35" fillId="0" borderId="0" xfId="0" applyNumberFormat="1" applyFont="1" applyAlignment="1">
      <alignment horizontal="center" vertical="top"/>
    </xf>
    <xf numFmtId="2" fontId="37" fillId="0" borderId="0" xfId="0" applyNumberFormat="1" applyFont="1" applyAlignment="1">
      <alignment horizontal="center" vertical="top"/>
    </xf>
    <xf numFmtId="0" fontId="27" fillId="8" borderId="0" xfId="0" applyFont="1" applyFill="1" applyAlignment="1">
      <alignment vertical="top"/>
    </xf>
    <xf numFmtId="0" fontId="1" fillId="3" borderId="19" xfId="12" applyFont="1" applyFill="1" applyBorder="1" applyAlignment="1">
      <alignment horizontal="center" vertical="center" wrapText="1"/>
    </xf>
    <xf numFmtId="0" fontId="1" fillId="3" borderId="21" xfId="12" applyFont="1" applyFill="1" applyBorder="1" applyAlignment="1">
      <alignment horizontal="center" vertical="center" wrapText="1"/>
    </xf>
    <xf numFmtId="0" fontId="31" fillId="9" borderId="45" xfId="24" applyFont="1" applyFill="1" applyBorder="1" applyAlignment="1">
      <alignment horizontal="right" vertical="top" wrapText="1"/>
    </xf>
    <xf numFmtId="0" fontId="37" fillId="9" borderId="47" xfId="24" applyFont="1" applyFill="1" applyBorder="1" applyAlignment="1">
      <alignment horizontal="right" vertical="top" wrapText="1"/>
    </xf>
    <xf numFmtId="10" fontId="27" fillId="8" borderId="0" xfId="24" applyNumberFormat="1" applyFont="1" applyFill="1" applyAlignment="1">
      <alignment horizontal="right" vertical="top" wrapText="1"/>
    </xf>
    <xf numFmtId="4" fontId="27" fillId="8" borderId="0" xfId="24" applyNumberFormat="1" applyFont="1" applyFill="1" applyAlignment="1">
      <alignment horizontal="right" vertical="top" wrapText="1"/>
    </xf>
    <xf numFmtId="0" fontId="27" fillId="8" borderId="0" xfId="0" applyFont="1" applyFill="1" applyAlignment="1">
      <alignment horizontal="center" vertical="top" wrapText="1"/>
    </xf>
    <xf numFmtId="0" fontId="37" fillId="10" borderId="45" xfId="0" applyFont="1" applyFill="1" applyBorder="1" applyAlignment="1">
      <alignment horizontal="left" vertical="top" wrapText="1"/>
    </xf>
    <xf numFmtId="0" fontId="37" fillId="10" borderId="45" xfId="0" applyFont="1" applyFill="1" applyBorder="1" applyAlignment="1">
      <alignment horizontal="right" vertical="top" wrapText="1"/>
    </xf>
    <xf numFmtId="0" fontId="37" fillId="10" borderId="45" xfId="0" applyFont="1" applyFill="1" applyBorder="1" applyAlignment="1">
      <alignment horizontal="center" vertical="top" wrapText="1"/>
    </xf>
    <xf numFmtId="171" fontId="37" fillId="10" borderId="45" xfId="0" applyNumberFormat="1" applyFont="1" applyFill="1" applyBorder="1" applyAlignment="1">
      <alignment horizontal="right" vertical="top" wrapText="1"/>
    </xf>
    <xf numFmtId="4" fontId="37" fillId="10" borderId="45" xfId="0" applyNumberFormat="1" applyFont="1" applyFill="1" applyBorder="1" applyAlignment="1">
      <alignment horizontal="right" vertical="top" wrapText="1"/>
    </xf>
    <xf numFmtId="4" fontId="37" fillId="0" borderId="0" xfId="0" applyNumberFormat="1" applyFont="1"/>
    <xf numFmtId="0" fontId="27" fillId="0" borderId="45" xfId="0" applyFont="1" applyBorder="1" applyAlignment="1">
      <alignment horizontal="left" vertical="top" wrapText="1"/>
    </xf>
    <xf numFmtId="0" fontId="27" fillId="0" borderId="45" xfId="0" applyFont="1" applyBorder="1" applyAlignment="1">
      <alignment horizontal="right" vertical="top" wrapText="1"/>
    </xf>
    <xf numFmtId="0" fontId="27" fillId="0" borderId="45" xfId="0" applyFont="1" applyBorder="1" applyAlignment="1">
      <alignment horizontal="center" vertical="top" wrapText="1"/>
    </xf>
    <xf numFmtId="0" fontId="26" fillId="0" borderId="45" xfId="0" applyFont="1" applyBorder="1" applyAlignment="1">
      <alignment horizontal="left" vertical="top" wrapText="1"/>
    </xf>
    <xf numFmtId="0" fontId="26" fillId="0" borderId="45" xfId="0" applyFont="1" applyBorder="1" applyAlignment="1">
      <alignment horizontal="right" vertical="top" wrapText="1"/>
    </xf>
    <xf numFmtId="0" fontId="26" fillId="0" borderId="45" xfId="0" applyFont="1" applyBorder="1" applyAlignment="1">
      <alignment horizontal="center" vertical="top" wrapText="1"/>
    </xf>
    <xf numFmtId="171" fontId="26" fillId="0" borderId="45" xfId="0" applyNumberFormat="1" applyFont="1" applyBorder="1" applyAlignment="1">
      <alignment horizontal="right" vertical="top" wrapText="1"/>
    </xf>
    <xf numFmtId="4" fontId="26" fillId="0" borderId="45" xfId="0" applyNumberFormat="1" applyFont="1" applyBorder="1" applyAlignment="1">
      <alignment horizontal="right" vertical="top" wrapText="1"/>
    </xf>
    <xf numFmtId="0" fontId="26" fillId="0" borderId="0" xfId="0" applyFont="1" applyAlignment="1">
      <alignment horizontal="right" vertical="top" wrapText="1"/>
    </xf>
    <xf numFmtId="4" fontId="26" fillId="0" borderId="0" xfId="0" applyNumberFormat="1" applyFont="1" applyAlignment="1">
      <alignment horizontal="right" vertical="top" wrapText="1"/>
    </xf>
    <xf numFmtId="0" fontId="37" fillId="10" borderId="46" xfId="0" applyFont="1" applyFill="1" applyBorder="1" applyAlignment="1">
      <alignment horizontal="left" vertical="top" wrapText="1"/>
    </xf>
    <xf numFmtId="164" fontId="26" fillId="0" borderId="45" xfId="0" applyNumberFormat="1" applyFont="1" applyBorder="1" applyAlignment="1">
      <alignment horizontal="right" vertical="top" wrapText="1"/>
    </xf>
    <xf numFmtId="0" fontId="27" fillId="8" borderId="0" xfId="0" applyFont="1" applyFill="1" applyAlignment="1">
      <alignment horizontal="left" vertical="center" wrapText="1"/>
    </xf>
    <xf numFmtId="44" fontId="27" fillId="8" borderId="0" xfId="31" applyFont="1" applyFill="1" applyAlignment="1">
      <alignment horizontal="right" vertical="center" wrapText="1"/>
    </xf>
    <xf numFmtId="0" fontId="26" fillId="8" borderId="0" xfId="0" applyFont="1" applyFill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27" fillId="8" borderId="0" xfId="0" applyFont="1" applyFill="1" applyAlignment="1">
      <alignment horizontal="left" vertical="top" wrapText="1"/>
    </xf>
    <xf numFmtId="10" fontId="27" fillId="8" borderId="0" xfId="0" applyNumberFormat="1" applyFont="1" applyFill="1" applyAlignment="1">
      <alignment horizontal="left" vertical="top" wrapText="1"/>
    </xf>
    <xf numFmtId="0" fontId="27" fillId="8" borderId="0" xfId="0" applyFont="1" applyFill="1" applyAlignment="1">
      <alignment horizontal="center" vertical="center" wrapText="1"/>
    </xf>
    <xf numFmtId="0" fontId="27" fillId="8" borderId="45" xfId="0" applyFont="1" applyFill="1" applyBorder="1" applyAlignment="1">
      <alignment horizontal="left" vertical="center" wrapText="1"/>
    </xf>
    <xf numFmtId="0" fontId="31" fillId="9" borderId="59" xfId="0" applyFont="1" applyFill="1" applyBorder="1" applyAlignment="1">
      <alignment horizontal="left" vertical="top" wrapText="1"/>
    </xf>
    <xf numFmtId="0" fontId="31" fillId="9" borderId="75" xfId="0" applyFont="1" applyFill="1" applyBorder="1" applyAlignment="1">
      <alignment horizontal="left" vertical="top" wrapText="1"/>
    </xf>
    <xf numFmtId="0" fontId="31" fillId="9" borderId="65" xfId="0" applyFont="1" applyFill="1" applyBorder="1" applyAlignment="1">
      <alignment horizontal="left" vertical="top" wrapText="1"/>
    </xf>
    <xf numFmtId="0" fontId="27" fillId="8" borderId="0" xfId="0" applyFont="1" applyFill="1" applyAlignment="1">
      <alignment horizontal="right" vertical="top" wrapText="1"/>
    </xf>
    <xf numFmtId="44" fontId="27" fillId="8" borderId="0" xfId="31" applyFont="1" applyFill="1" applyAlignment="1">
      <alignment horizontal="right" vertical="top" wrapText="1"/>
    </xf>
    <xf numFmtId="0" fontId="21" fillId="8" borderId="0" xfId="0" applyFont="1" applyFill="1" applyAlignment="1">
      <alignment horizontal="center" vertical="top" wrapText="1"/>
    </xf>
    <xf numFmtId="0" fontId="35" fillId="0" borderId="0" xfId="0" applyFont="1"/>
    <xf numFmtId="0" fontId="27" fillId="8" borderId="0" xfId="0" applyFont="1" applyFill="1" applyAlignment="1">
      <alignment horizontal="center" wrapText="1"/>
    </xf>
    <xf numFmtId="0" fontId="26" fillId="0" borderId="0" xfId="0" applyFont="1" applyAlignment="1">
      <alignment horizontal="right" vertical="top" wrapText="1"/>
    </xf>
    <xf numFmtId="0" fontId="27" fillId="0" borderId="45" xfId="0" applyFont="1" applyBorder="1" applyAlignment="1">
      <alignment horizontal="left" vertical="top" wrapText="1"/>
    </xf>
    <xf numFmtId="0" fontId="37" fillId="10" borderId="45" xfId="0" applyFont="1" applyFill="1" applyBorder="1" applyAlignment="1">
      <alignment horizontal="left" vertical="top" wrapText="1"/>
    </xf>
    <xf numFmtId="0" fontId="26" fillId="0" borderId="45" xfId="0" applyFont="1" applyBorder="1" applyAlignment="1">
      <alignment horizontal="left" vertical="top" wrapText="1"/>
    </xf>
    <xf numFmtId="0" fontId="37" fillId="0" borderId="0" xfId="0" applyFont="1" applyAlignment="1">
      <alignment horizontal="center" wrapText="1"/>
    </xf>
    <xf numFmtId="0" fontId="37" fillId="0" borderId="0" xfId="0" applyFont="1" applyAlignment="1">
      <alignment horizontal="center"/>
    </xf>
    <xf numFmtId="0" fontId="27" fillId="0" borderId="0" xfId="0" applyFont="1" applyAlignment="1">
      <alignment horizontal="center" wrapText="1"/>
    </xf>
    <xf numFmtId="0" fontId="37" fillId="0" borderId="0" xfId="0" applyFont="1"/>
    <xf numFmtId="0" fontId="27" fillId="8" borderId="45" xfId="0" applyFont="1" applyFill="1" applyBorder="1" applyAlignment="1">
      <alignment horizontal="left" vertical="top" wrapText="1"/>
    </xf>
    <xf numFmtId="0" fontId="26" fillId="8" borderId="0" xfId="24" applyFont="1" applyFill="1" applyAlignment="1">
      <alignment horizontal="center" vertical="center" wrapText="1"/>
    </xf>
    <xf numFmtId="0" fontId="27" fillId="8" borderId="0" xfId="24" applyFont="1" applyFill="1" applyAlignment="1">
      <alignment horizontal="left" vertical="top" wrapText="1"/>
    </xf>
    <xf numFmtId="0" fontId="27" fillId="8" borderId="48" xfId="0" applyFont="1" applyFill="1" applyBorder="1" applyAlignment="1">
      <alignment horizontal="right" vertical="top" wrapText="1"/>
    </xf>
    <xf numFmtId="0" fontId="27" fillId="8" borderId="60" xfId="24" applyFont="1" applyFill="1" applyBorder="1" applyAlignment="1">
      <alignment horizontal="center" vertical="center" wrapText="1"/>
    </xf>
    <xf numFmtId="0" fontId="27" fillId="5" borderId="24" xfId="12" applyFont="1" applyFill="1" applyBorder="1" applyAlignment="1">
      <alignment horizontal="center" vertical="center"/>
    </xf>
    <xf numFmtId="0" fontId="27" fillId="5" borderId="25" xfId="12" applyFont="1" applyFill="1" applyBorder="1" applyAlignment="1">
      <alignment horizontal="center" vertical="center"/>
    </xf>
    <xf numFmtId="0" fontId="27" fillId="5" borderId="26" xfId="12" applyFont="1" applyFill="1" applyBorder="1" applyAlignment="1">
      <alignment horizontal="center" vertical="center"/>
    </xf>
    <xf numFmtId="0" fontId="27" fillId="5" borderId="13" xfId="12" applyFont="1" applyFill="1" applyBorder="1" applyAlignment="1">
      <alignment horizontal="center" vertical="center" wrapText="1"/>
    </xf>
    <xf numFmtId="0" fontId="27" fillId="5" borderId="19" xfId="12" applyFont="1" applyFill="1" applyBorder="1" applyAlignment="1">
      <alignment horizontal="center" vertical="center"/>
    </xf>
    <xf numFmtId="0" fontId="27" fillId="5" borderId="21" xfId="12" applyFont="1" applyFill="1" applyBorder="1" applyAlignment="1">
      <alignment horizontal="center" vertical="center"/>
    </xf>
    <xf numFmtId="0" fontId="27" fillId="5" borderId="22" xfId="12" applyFont="1" applyFill="1" applyBorder="1" applyAlignment="1">
      <alignment horizontal="center" vertical="center" wrapText="1"/>
    </xf>
    <xf numFmtId="0" fontId="27" fillId="5" borderId="14" xfId="12" applyFont="1" applyFill="1" applyBorder="1" applyAlignment="1">
      <alignment horizontal="center" vertical="center" wrapText="1"/>
    </xf>
    <xf numFmtId="0" fontId="27" fillId="5" borderId="23" xfId="12" applyFont="1" applyFill="1" applyBorder="1" applyAlignment="1">
      <alignment horizontal="center" vertical="center" wrapText="1"/>
    </xf>
    <xf numFmtId="0" fontId="25" fillId="2" borderId="3" xfId="12" applyFont="1" applyFill="1" applyBorder="1" applyAlignment="1">
      <alignment horizontal="center" vertical="center"/>
    </xf>
    <xf numFmtId="0" fontId="25" fillId="2" borderId="4" xfId="12" applyFont="1" applyFill="1" applyBorder="1" applyAlignment="1">
      <alignment horizontal="center" vertical="center"/>
    </xf>
    <xf numFmtId="0" fontId="25" fillId="2" borderId="5" xfId="12" applyFont="1" applyFill="1" applyBorder="1" applyAlignment="1">
      <alignment horizontal="center" vertical="center"/>
    </xf>
    <xf numFmtId="0" fontId="28" fillId="3" borderId="29" xfId="12" applyFont="1" applyFill="1" applyBorder="1" applyAlignment="1">
      <alignment horizontal="left" vertical="center" wrapText="1"/>
    </xf>
    <xf numFmtId="0" fontId="28" fillId="3" borderId="4" xfId="12" applyFont="1" applyFill="1" applyBorder="1" applyAlignment="1">
      <alignment horizontal="left" vertical="center" wrapText="1"/>
    </xf>
    <xf numFmtId="0" fontId="25" fillId="3" borderId="3" xfId="12" applyFont="1" applyFill="1" applyBorder="1" applyAlignment="1">
      <alignment horizontal="left" vertical="center"/>
    </xf>
    <xf numFmtId="0" fontId="25" fillId="3" borderId="5" xfId="12" applyFont="1" applyFill="1" applyBorder="1" applyAlignment="1">
      <alignment horizontal="left" vertical="center"/>
    </xf>
    <xf numFmtId="0" fontId="25" fillId="4" borderId="3" xfId="12" applyFont="1" applyFill="1" applyBorder="1" applyAlignment="1">
      <alignment horizontal="center" vertical="center"/>
    </xf>
    <xf numFmtId="0" fontId="25" fillId="4" borderId="4" xfId="12" applyFont="1" applyFill="1" applyBorder="1" applyAlignment="1">
      <alignment horizontal="center" vertical="center"/>
    </xf>
    <xf numFmtId="0" fontId="25" fillId="4" borderId="5" xfId="12" applyFont="1" applyFill="1" applyBorder="1" applyAlignment="1">
      <alignment horizontal="center" vertical="center"/>
    </xf>
    <xf numFmtId="0" fontId="25" fillId="3" borderId="24" xfId="12" applyFont="1" applyFill="1" applyBorder="1" applyAlignment="1">
      <alignment horizontal="left" vertical="center"/>
    </xf>
    <xf numFmtId="0" fontId="25" fillId="3" borderId="19" xfId="12" applyFont="1" applyFill="1" applyBorder="1" applyAlignment="1">
      <alignment horizontal="left" vertical="center"/>
    </xf>
    <xf numFmtId="0" fontId="25" fillId="3" borderId="21" xfId="12" applyFont="1" applyFill="1" applyBorder="1" applyAlignment="1">
      <alignment horizontal="left" vertical="center"/>
    </xf>
    <xf numFmtId="0" fontId="28" fillId="3" borderId="25" xfId="12" applyFont="1" applyFill="1" applyBorder="1" applyAlignment="1">
      <alignment horizontal="left" vertical="center" wrapText="1"/>
    </xf>
    <xf numFmtId="165" fontId="28" fillId="3" borderId="26" xfId="12" applyNumberFormat="1" applyFont="1" applyFill="1" applyBorder="1" applyAlignment="1">
      <alignment horizontal="center" vertical="center"/>
    </xf>
    <xf numFmtId="165" fontId="28" fillId="3" borderId="14" xfId="12" applyNumberFormat="1" applyFont="1" applyFill="1" applyBorder="1" applyAlignment="1">
      <alignment horizontal="center" vertical="center"/>
    </xf>
    <xf numFmtId="165" fontId="28" fillId="3" borderId="23" xfId="12" applyNumberFormat="1" applyFont="1" applyFill="1" applyBorder="1" applyAlignment="1">
      <alignment horizontal="center" vertical="center"/>
    </xf>
    <xf numFmtId="166" fontId="25" fillId="3" borderId="7" xfId="12" applyNumberFormat="1" applyFont="1" applyFill="1" applyBorder="1" applyAlignment="1">
      <alignment horizontal="center" vertical="center"/>
    </xf>
    <xf numFmtId="166" fontId="25" fillId="3" borderId="10" xfId="12" applyNumberFormat="1" applyFont="1" applyFill="1" applyBorder="1" applyAlignment="1">
      <alignment horizontal="center" vertical="center"/>
    </xf>
    <xf numFmtId="166" fontId="25" fillId="3" borderId="27" xfId="12" applyNumberFormat="1" applyFont="1" applyFill="1" applyBorder="1" applyAlignment="1">
      <alignment horizontal="center" vertical="center"/>
    </xf>
    <xf numFmtId="0" fontId="28" fillId="3" borderId="13" xfId="12" applyFont="1" applyFill="1" applyBorder="1" applyAlignment="1">
      <alignment horizontal="left" vertical="center" wrapText="1"/>
    </xf>
    <xf numFmtId="0" fontId="28" fillId="3" borderId="22" xfId="12" applyFont="1" applyFill="1" applyBorder="1" applyAlignment="1">
      <alignment horizontal="left" vertical="center" wrapText="1"/>
    </xf>
    <xf numFmtId="49" fontId="20" fillId="3" borderId="0" xfId="50" applyNumberFormat="1" applyFont="1" applyFill="1" applyAlignment="1">
      <alignment horizontal="left" vertical="center" wrapText="1"/>
    </xf>
    <xf numFmtId="0" fontId="20" fillId="3" borderId="13" xfId="8" applyFont="1" applyFill="1" applyBorder="1" applyAlignment="1">
      <alignment horizontal="center" vertical="center" wrapText="1"/>
    </xf>
    <xf numFmtId="0" fontId="20" fillId="14" borderId="13" xfId="50" applyFont="1" applyFill="1" applyBorder="1" applyAlignment="1">
      <alignment horizontal="center" vertical="center" wrapText="1"/>
    </xf>
    <xf numFmtId="49" fontId="20" fillId="3" borderId="13" xfId="52" applyNumberFormat="1" applyFont="1" applyFill="1" applyBorder="1" applyAlignment="1">
      <alignment horizontal="left" vertical="center"/>
    </xf>
    <xf numFmtId="49" fontId="20" fillId="3" borderId="0" xfId="52" applyNumberFormat="1" applyFont="1" applyFill="1" applyAlignment="1">
      <alignment horizontal="left" vertical="center"/>
    </xf>
    <xf numFmtId="37" fontId="20" fillId="3" borderId="13" xfId="50" applyNumberFormat="1" applyFont="1" applyFill="1" applyBorder="1" applyAlignment="1">
      <alignment horizontal="left" vertical="center" wrapText="1"/>
    </xf>
    <xf numFmtId="0" fontId="43" fillId="11" borderId="15" xfId="50" applyFont="1" applyFill="1" applyBorder="1" applyAlignment="1">
      <alignment horizontal="center" vertical="center"/>
    </xf>
    <xf numFmtId="0" fontId="43" fillId="11" borderId="2" xfId="50" applyFont="1" applyFill="1" applyBorder="1" applyAlignment="1">
      <alignment horizontal="center" vertical="center"/>
    </xf>
    <xf numFmtId="0" fontId="43" fillId="11" borderId="12" xfId="50" applyFont="1" applyFill="1" applyBorder="1" applyAlignment="1">
      <alignment horizontal="center" vertical="center"/>
    </xf>
    <xf numFmtId="49" fontId="20" fillId="11" borderId="54" xfId="50" applyNumberFormat="1" applyFont="1" applyFill="1" applyBorder="1" applyAlignment="1">
      <alignment horizontal="center" vertical="center" wrapText="1"/>
    </xf>
    <xf numFmtId="49" fontId="20" fillId="11" borderId="55" xfId="50" applyNumberFormat="1" applyFont="1" applyFill="1" applyBorder="1" applyAlignment="1">
      <alignment horizontal="center" vertical="center" wrapText="1"/>
    </xf>
    <xf numFmtId="49" fontId="20" fillId="11" borderId="56" xfId="50" applyNumberFormat="1" applyFont="1" applyFill="1" applyBorder="1" applyAlignment="1">
      <alignment horizontal="center" vertical="center" wrapText="1"/>
    </xf>
    <xf numFmtId="49" fontId="20" fillId="11" borderId="57" xfId="50" applyNumberFormat="1" applyFont="1" applyFill="1" applyBorder="1" applyAlignment="1">
      <alignment horizontal="center" vertical="center" wrapText="1"/>
    </xf>
    <xf numFmtId="4" fontId="20" fillId="3" borderId="13" xfId="52" applyNumberFormat="1" applyFont="1" applyFill="1" applyBorder="1" applyAlignment="1">
      <alignment horizontal="center" vertical="center"/>
    </xf>
    <xf numFmtId="39" fontId="42" fillId="5" borderId="35" xfId="50" applyNumberFormat="1" applyFont="1" applyFill="1" applyBorder="1" applyAlignment="1">
      <alignment horizontal="center" vertical="center" textRotation="90" wrapText="1"/>
    </xf>
    <xf numFmtId="39" fontId="42" fillId="5" borderId="13" xfId="50" applyNumberFormat="1" applyFont="1" applyFill="1" applyBorder="1" applyAlignment="1">
      <alignment horizontal="center" vertical="center" textRotation="90" wrapText="1"/>
    </xf>
    <xf numFmtId="39" fontId="42" fillId="5" borderId="36" xfId="50" applyNumberFormat="1" applyFont="1" applyFill="1" applyBorder="1" applyAlignment="1">
      <alignment horizontal="center" vertical="center" textRotation="90" wrapText="1"/>
    </xf>
    <xf numFmtId="39" fontId="42" fillId="5" borderId="14" xfId="50" applyNumberFormat="1" applyFont="1" applyFill="1" applyBorder="1" applyAlignment="1">
      <alignment horizontal="center" vertical="center" textRotation="90" wrapText="1"/>
    </xf>
    <xf numFmtId="37" fontId="42" fillId="5" borderId="58" xfId="50" applyNumberFormat="1" applyFont="1" applyFill="1" applyBorder="1" applyAlignment="1">
      <alignment horizontal="center" vertical="center" textRotation="90" wrapText="1"/>
    </xf>
    <xf numFmtId="37" fontId="42" fillId="5" borderId="35" xfId="50" applyNumberFormat="1" applyFont="1" applyFill="1" applyBorder="1" applyAlignment="1">
      <alignment horizontal="center" vertical="center" textRotation="90" wrapText="1"/>
    </xf>
    <xf numFmtId="0" fontId="26" fillId="3" borderId="62" xfId="50" applyFont="1" applyFill="1" applyBorder="1" applyAlignment="1">
      <alignment horizontal="center" vertical="center" textRotation="90"/>
    </xf>
    <xf numFmtId="39" fontId="42" fillId="5" borderId="35" xfId="50" applyNumberFormat="1" applyFont="1" applyFill="1" applyBorder="1" applyAlignment="1">
      <alignment horizontal="center" vertical="center" wrapText="1"/>
    </xf>
    <xf numFmtId="0" fontId="42" fillId="11" borderId="53" xfId="50" applyFont="1" applyFill="1" applyBorder="1" applyAlignment="1">
      <alignment horizontal="center" vertical="center"/>
    </xf>
    <xf numFmtId="0" fontId="42" fillId="11" borderId="19" xfId="50" applyFont="1" applyFill="1" applyBorder="1" applyAlignment="1">
      <alignment horizontal="center" vertical="center"/>
    </xf>
    <xf numFmtId="37" fontId="42" fillId="5" borderId="35" xfId="50" applyNumberFormat="1" applyFont="1" applyFill="1" applyBorder="1" applyAlignment="1">
      <alignment horizontal="center" vertical="center" wrapText="1"/>
    </xf>
    <xf numFmtId="0" fontId="42" fillId="5" borderId="13" xfId="50" applyFont="1" applyFill="1" applyBorder="1" applyAlignment="1">
      <alignment horizontal="center" vertical="center" wrapText="1"/>
    </xf>
    <xf numFmtId="0" fontId="42" fillId="5" borderId="13" xfId="50" applyFont="1" applyFill="1" applyBorder="1" applyAlignment="1">
      <alignment vertical="center"/>
    </xf>
    <xf numFmtId="0" fontId="42" fillId="3" borderId="0" xfId="50" applyFont="1" applyFill="1" applyAlignment="1">
      <alignment horizontal="center" vertical="center" wrapText="1"/>
    </xf>
    <xf numFmtId="0" fontId="42" fillId="3" borderId="0" xfId="50" applyFont="1" applyFill="1" applyAlignment="1">
      <alignment vertical="center"/>
    </xf>
    <xf numFmtId="10" fontId="42" fillId="5" borderId="13" xfId="51" applyNumberFormat="1" applyFont="1" applyFill="1" applyBorder="1" applyAlignment="1">
      <alignment horizontal="center" vertical="center" wrapText="1"/>
    </xf>
    <xf numFmtId="10" fontId="42" fillId="5" borderId="13" xfId="51" applyNumberFormat="1" applyFont="1" applyFill="1" applyBorder="1" applyAlignment="1">
      <alignment vertical="center"/>
    </xf>
    <xf numFmtId="0" fontId="42" fillId="5" borderId="37" xfId="50" applyFont="1" applyFill="1" applyBorder="1" applyAlignment="1">
      <alignment horizontal="center" vertical="center" wrapText="1"/>
    </xf>
    <xf numFmtId="0" fontId="42" fillId="5" borderId="35" xfId="50" applyFont="1" applyFill="1" applyBorder="1" applyAlignment="1">
      <alignment horizontal="center" vertical="center" wrapText="1"/>
    </xf>
    <xf numFmtId="0" fontId="42" fillId="5" borderId="15" xfId="50" applyFont="1" applyFill="1" applyBorder="1" applyAlignment="1">
      <alignment horizontal="center" vertical="center" wrapText="1"/>
    </xf>
    <xf numFmtId="0" fontId="42" fillId="5" borderId="2" xfId="50" applyFont="1" applyFill="1" applyBorder="1" applyAlignment="1">
      <alignment horizontal="center" vertical="center" wrapText="1"/>
    </xf>
    <xf numFmtId="0" fontId="45" fillId="12" borderId="13" xfId="50" applyFont="1" applyFill="1" applyBorder="1" applyAlignment="1">
      <alignment horizontal="center" vertical="center" wrapText="1"/>
    </xf>
    <xf numFmtId="0" fontId="45" fillId="12" borderId="13" xfId="50" applyFont="1" applyFill="1" applyBorder="1" applyAlignment="1">
      <alignment horizontal="center" vertical="center"/>
    </xf>
    <xf numFmtId="0" fontId="45" fillId="16" borderId="13" xfId="50" applyFont="1" applyFill="1" applyBorder="1" applyAlignment="1">
      <alignment horizontal="center" vertical="center" wrapText="1"/>
    </xf>
    <xf numFmtId="0" fontId="45" fillId="16" borderId="13" xfId="50" applyFont="1" applyFill="1" applyBorder="1" applyAlignment="1">
      <alignment horizontal="center" vertical="center"/>
    </xf>
    <xf numFmtId="0" fontId="42" fillId="5" borderId="14" xfId="50" applyFont="1" applyFill="1" applyBorder="1" applyAlignment="1">
      <alignment vertical="center"/>
    </xf>
    <xf numFmtId="0" fontId="27" fillId="0" borderId="41" xfId="50" applyFont="1" applyBorder="1" applyAlignment="1">
      <alignment horizontal="center" vertical="center"/>
    </xf>
    <xf numFmtId="0" fontId="28" fillId="0" borderId="6" xfId="50" applyFont="1" applyBorder="1" applyAlignment="1">
      <alignment horizontal="center" vertical="center"/>
    </xf>
    <xf numFmtId="0" fontId="28" fillId="0" borderId="8" xfId="50" applyFont="1" applyBorder="1" applyAlignment="1">
      <alignment horizontal="center" vertical="center"/>
    </xf>
    <xf numFmtId="0" fontId="28" fillId="0" borderId="9" xfId="50" applyFont="1" applyBorder="1" applyAlignment="1">
      <alignment horizontal="center" vertical="center"/>
    </xf>
    <xf numFmtId="0" fontId="21" fillId="0" borderId="62" xfId="52" applyFont="1" applyBorder="1" applyAlignment="1">
      <alignment horizontal="left" vertical="center" wrapText="1"/>
    </xf>
    <xf numFmtId="0" fontId="21" fillId="0" borderId="0" xfId="52" applyFont="1" applyAlignment="1">
      <alignment horizontal="left" vertical="center" wrapText="1"/>
    </xf>
    <xf numFmtId="0" fontId="43" fillId="11" borderId="49" xfId="50" applyFont="1" applyFill="1" applyBorder="1" applyAlignment="1">
      <alignment horizontal="center" vertical="center" wrapText="1"/>
    </xf>
    <xf numFmtId="0" fontId="43" fillId="11" borderId="52" xfId="50" applyFont="1" applyFill="1" applyBorder="1" applyAlignment="1">
      <alignment horizontal="center" vertical="center" wrapText="1"/>
    </xf>
    <xf numFmtId="0" fontId="43" fillId="11" borderId="18" xfId="50" applyFont="1" applyFill="1" applyBorder="1" applyAlignment="1">
      <alignment horizontal="center" vertical="center" wrapText="1"/>
    </xf>
    <xf numFmtId="0" fontId="40" fillId="5" borderId="13" xfId="50" applyFont="1" applyFill="1" applyBorder="1" applyAlignment="1">
      <alignment horizontal="center" vertical="center" wrapText="1"/>
    </xf>
    <xf numFmtId="0" fontId="40" fillId="5" borderId="13" xfId="50" applyFont="1" applyFill="1" applyBorder="1" applyAlignment="1">
      <alignment vertical="center"/>
    </xf>
    <xf numFmtId="0" fontId="43" fillId="11" borderId="3" xfId="50" applyFont="1" applyFill="1" applyBorder="1" applyAlignment="1">
      <alignment horizontal="center" vertical="center" wrapText="1"/>
    </xf>
    <xf numFmtId="0" fontId="43" fillId="11" borderId="4" xfId="50" applyFont="1" applyFill="1" applyBorder="1" applyAlignment="1">
      <alignment horizontal="center" vertical="center" wrapText="1"/>
    </xf>
    <xf numFmtId="0" fontId="43" fillId="11" borderId="5" xfId="50" applyFont="1" applyFill="1" applyBorder="1" applyAlignment="1">
      <alignment horizontal="center" vertical="center" wrapText="1"/>
    </xf>
    <xf numFmtId="49" fontId="42" fillId="11" borderId="19" xfId="50" applyNumberFormat="1" applyFont="1" applyFill="1" applyBorder="1" applyAlignment="1">
      <alignment horizontal="center" vertical="center" textRotation="90" wrapText="1"/>
    </xf>
    <xf numFmtId="0" fontId="42" fillId="11" borderId="19" xfId="50" applyFont="1" applyFill="1" applyBorder="1" applyAlignment="1">
      <alignment vertical="center"/>
    </xf>
    <xf numFmtId="0" fontId="42" fillId="5" borderId="13" xfId="50" applyFont="1" applyFill="1" applyBorder="1" applyAlignment="1">
      <alignment horizontal="center" vertical="center" textRotation="90" wrapText="1"/>
    </xf>
    <xf numFmtId="2" fontId="42" fillId="13" borderId="37" xfId="50" applyNumberFormat="1" applyFont="1" applyFill="1" applyBorder="1" applyAlignment="1">
      <alignment horizontal="center" vertical="center" wrapText="1"/>
    </xf>
    <xf numFmtId="2" fontId="42" fillId="13" borderId="35" xfId="50" applyNumberFormat="1" applyFont="1" applyFill="1" applyBorder="1" applyAlignment="1">
      <alignment horizontal="center" vertical="center" wrapText="1"/>
    </xf>
    <xf numFmtId="0" fontId="20" fillId="4" borderId="35" xfId="7" applyFont="1" applyFill="1" applyBorder="1" applyAlignment="1">
      <alignment horizontal="center" vertical="center" wrapText="1"/>
    </xf>
    <xf numFmtId="0" fontId="20" fillId="4" borderId="13" xfId="7" applyFont="1" applyFill="1" applyBorder="1" applyAlignment="1">
      <alignment horizontal="center" vertical="center" wrapText="1"/>
    </xf>
    <xf numFmtId="0" fontId="20" fillId="4" borderId="36" xfId="7" applyFont="1" applyFill="1" applyBorder="1" applyAlignment="1">
      <alignment horizontal="center" vertical="center" wrapText="1"/>
    </xf>
    <xf numFmtId="0" fontId="20" fillId="4" borderId="14" xfId="7" applyFont="1" applyFill="1" applyBorder="1" applyAlignment="1">
      <alignment horizontal="center" vertical="center" wrapText="1"/>
    </xf>
    <xf numFmtId="0" fontId="20" fillId="4" borderId="53" xfId="7" applyFont="1" applyFill="1" applyBorder="1" applyAlignment="1">
      <alignment horizontal="center" vertical="center" wrapText="1"/>
    </xf>
    <xf numFmtId="0" fontId="20" fillId="4" borderId="19" xfId="7" applyFont="1" applyFill="1" applyBorder="1" applyAlignment="1">
      <alignment horizontal="center" vertical="center" wrapText="1"/>
    </xf>
    <xf numFmtId="0" fontId="62" fillId="4" borderId="13" xfId="8" applyFont="1" applyFill="1" applyBorder="1" applyAlignment="1">
      <alignment horizontal="center" vertical="center" wrapText="1"/>
    </xf>
    <xf numFmtId="0" fontId="62" fillId="4" borderId="14" xfId="8" applyFont="1" applyFill="1" applyBorder="1" applyAlignment="1">
      <alignment horizontal="center" vertical="center" wrapText="1"/>
    </xf>
    <xf numFmtId="0" fontId="20" fillId="4" borderId="3" xfId="7" applyFont="1" applyFill="1" applyBorder="1" applyAlignment="1">
      <alignment horizontal="center" vertical="center" wrapText="1"/>
    </xf>
    <xf numFmtId="0" fontId="20" fillId="4" borderId="4" xfId="7" applyFont="1" applyFill="1" applyBorder="1" applyAlignment="1">
      <alignment horizontal="center" vertical="center" wrapText="1"/>
    </xf>
    <xf numFmtId="0" fontId="20" fillId="4" borderId="5" xfId="7" applyFont="1" applyFill="1" applyBorder="1" applyAlignment="1">
      <alignment horizontal="center" vertical="center" wrapText="1"/>
    </xf>
    <xf numFmtId="43" fontId="69" fillId="0" borderId="0" xfId="9" applyFont="1" applyFill="1" applyAlignment="1">
      <alignment horizontal="center" vertical="center"/>
    </xf>
    <xf numFmtId="0" fontId="27" fillId="3" borderId="28" xfId="7" applyFont="1" applyFill="1" applyBorder="1" applyAlignment="1">
      <alignment horizontal="center" vertical="center"/>
    </xf>
    <xf numFmtId="0" fontId="27" fillId="3" borderId="40" xfId="7" applyFont="1" applyFill="1" applyBorder="1" applyAlignment="1">
      <alignment horizontal="center" vertical="center"/>
    </xf>
    <xf numFmtId="0" fontId="27" fillId="3" borderId="30" xfId="7" applyFont="1" applyFill="1" applyBorder="1" applyAlignment="1">
      <alignment horizontal="center" vertical="center"/>
    </xf>
    <xf numFmtId="0" fontId="20" fillId="4" borderId="53" xfId="8" applyFont="1" applyFill="1" applyBorder="1" applyAlignment="1">
      <alignment horizontal="center" vertical="center" wrapText="1"/>
    </xf>
    <xf numFmtId="0" fontId="20" fillId="4" borderId="35" xfId="8" applyFont="1" applyFill="1" applyBorder="1" applyAlignment="1">
      <alignment horizontal="center" vertical="center" wrapText="1"/>
    </xf>
    <xf numFmtId="0" fontId="20" fillId="4" borderId="36" xfId="8" applyFont="1" applyFill="1" applyBorder="1" applyAlignment="1">
      <alignment horizontal="center" vertical="center" wrapText="1"/>
    </xf>
    <xf numFmtId="2" fontId="62" fillId="4" borderId="57" xfId="8" applyNumberFormat="1" applyFont="1" applyFill="1" applyBorder="1" applyAlignment="1">
      <alignment horizontal="center" vertical="center" wrapText="1"/>
    </xf>
    <xf numFmtId="2" fontId="62" fillId="4" borderId="12" xfId="8" applyNumberFormat="1" applyFont="1" applyFill="1" applyBorder="1" applyAlignment="1">
      <alignment horizontal="center" vertical="center" wrapText="1"/>
    </xf>
    <xf numFmtId="0" fontId="62" fillId="4" borderId="35" xfId="8" applyFont="1" applyFill="1" applyBorder="1" applyAlignment="1">
      <alignment horizontal="center" vertical="center" wrapText="1"/>
    </xf>
    <xf numFmtId="0" fontId="62" fillId="4" borderId="56" xfId="8" applyFont="1" applyFill="1" applyBorder="1" applyAlignment="1">
      <alignment horizontal="center" vertical="center" wrapText="1"/>
    </xf>
    <xf numFmtId="0" fontId="62" fillId="4" borderId="15" xfId="8" applyFont="1" applyFill="1" applyBorder="1" applyAlignment="1">
      <alignment horizontal="center" vertical="center"/>
    </xf>
    <xf numFmtId="0" fontId="20" fillId="4" borderId="28" xfId="7" applyFont="1" applyFill="1" applyBorder="1" applyAlignment="1">
      <alignment horizontal="center" vertical="center" wrapText="1"/>
    </xf>
    <xf numFmtId="0" fontId="20" fillId="4" borderId="30" xfId="7" applyFont="1" applyFill="1" applyBorder="1" applyAlignment="1">
      <alignment horizontal="center" vertical="center" wrapText="1"/>
    </xf>
    <xf numFmtId="0" fontId="20" fillId="4" borderId="40" xfId="7" applyFont="1" applyFill="1" applyBorder="1" applyAlignment="1">
      <alignment horizontal="center" vertical="center" wrapText="1"/>
    </xf>
    <xf numFmtId="0" fontId="20" fillId="4" borderId="11" xfId="7" applyFont="1" applyFill="1" applyBorder="1" applyAlignment="1">
      <alignment horizontal="center" vertical="center" wrapText="1"/>
    </xf>
    <xf numFmtId="0" fontId="62" fillId="4" borderId="19" xfId="8" applyFont="1" applyFill="1" applyBorder="1" applyAlignment="1">
      <alignment horizontal="center" vertical="center" wrapText="1"/>
    </xf>
    <xf numFmtId="0" fontId="56" fillId="3" borderId="3" xfId="57" applyFont="1" applyFill="1" applyBorder="1" applyAlignment="1">
      <alignment horizontal="center" vertical="center"/>
    </xf>
    <xf numFmtId="0" fontId="56" fillId="3" borderId="4" xfId="57" applyFont="1" applyFill="1" applyBorder="1" applyAlignment="1">
      <alignment horizontal="center" vertical="center"/>
    </xf>
    <xf numFmtId="0" fontId="56" fillId="3" borderId="5" xfId="57" applyFont="1" applyFill="1" applyBorder="1" applyAlignment="1">
      <alignment horizontal="center" vertical="center"/>
    </xf>
    <xf numFmtId="169" fontId="20" fillId="5" borderId="7" xfId="57" applyNumberFormat="1" applyFont="1" applyFill="1" applyBorder="1" applyAlignment="1">
      <alignment horizontal="center" vertical="center"/>
    </xf>
    <xf numFmtId="169" fontId="20" fillId="5" borderId="77" xfId="57" applyNumberFormat="1" applyFont="1" applyFill="1" applyBorder="1" applyAlignment="1">
      <alignment horizontal="center" vertical="center"/>
    </xf>
    <xf numFmtId="0" fontId="56" fillId="5" borderId="3" xfId="57" applyFont="1" applyFill="1" applyBorder="1" applyAlignment="1">
      <alignment horizontal="center" vertical="center"/>
    </xf>
    <xf numFmtId="0" fontId="56" fillId="5" borderId="4" xfId="57" applyFont="1" applyFill="1" applyBorder="1" applyAlignment="1">
      <alignment horizontal="center" vertical="center"/>
    </xf>
    <xf numFmtId="0" fontId="56" fillId="5" borderId="5" xfId="57" applyFont="1" applyFill="1" applyBorder="1" applyAlignment="1">
      <alignment horizontal="center" vertical="center"/>
    </xf>
    <xf numFmtId="0" fontId="26" fillId="0" borderId="13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7" fillId="3" borderId="73" xfId="0" applyFont="1" applyFill="1" applyBorder="1" applyAlignment="1">
      <alignment horizontal="center" vertical="center" wrapText="1"/>
    </xf>
    <xf numFmtId="0" fontId="27" fillId="3" borderId="70" xfId="0" applyFont="1" applyFill="1" applyBorder="1" applyAlignment="1">
      <alignment horizontal="center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/>
    </xf>
    <xf numFmtId="43" fontId="26" fillId="3" borderId="13" xfId="37" applyFont="1" applyFill="1" applyBorder="1" applyAlignment="1">
      <alignment horizontal="center" vertical="center"/>
    </xf>
    <xf numFmtId="4" fontId="26" fillId="7" borderId="13" xfId="37" applyNumberFormat="1" applyFont="1" applyFill="1" applyBorder="1" applyAlignment="1">
      <alignment horizontal="center" vertical="center"/>
    </xf>
    <xf numFmtId="4" fontId="26" fillId="5" borderId="13" xfId="37" applyNumberFormat="1" applyFont="1" applyFill="1" applyBorder="1" applyAlignment="1">
      <alignment horizontal="center" vertical="center"/>
    </xf>
    <xf numFmtId="4" fontId="26" fillId="3" borderId="13" xfId="37" applyNumberFormat="1" applyFont="1" applyFill="1" applyBorder="1" applyAlignment="1">
      <alignment horizontal="center" vertical="center"/>
    </xf>
    <xf numFmtId="0" fontId="26" fillId="3" borderId="22" xfId="0" applyFont="1" applyFill="1" applyBorder="1" applyAlignment="1">
      <alignment horizontal="center" vertical="center"/>
    </xf>
    <xf numFmtId="43" fontId="26" fillId="3" borderId="22" xfId="37" applyFont="1" applyFill="1" applyBorder="1" applyAlignment="1">
      <alignment horizontal="center" vertical="center"/>
    </xf>
    <xf numFmtId="4" fontId="26" fillId="7" borderId="22" xfId="37" applyNumberFormat="1" applyFont="1" applyFill="1" applyBorder="1" applyAlignment="1">
      <alignment horizontal="center" vertical="center"/>
    </xf>
    <xf numFmtId="4" fontId="26" fillId="5" borderId="22" xfId="37" applyNumberFormat="1" applyFont="1" applyFill="1" applyBorder="1" applyAlignment="1">
      <alignment horizontal="center" vertical="center"/>
    </xf>
    <xf numFmtId="4" fontId="26" fillId="3" borderId="22" xfId="37" applyNumberFormat="1" applyFont="1" applyFill="1" applyBorder="1" applyAlignment="1">
      <alignment horizontal="center" vertical="center"/>
    </xf>
    <xf numFmtId="4" fontId="26" fillId="5" borderId="37" xfId="37" applyNumberFormat="1" applyFont="1" applyFill="1" applyBorder="1" applyAlignment="1">
      <alignment horizontal="center" vertical="center"/>
    </xf>
    <xf numFmtId="4" fontId="26" fillId="5" borderId="14" xfId="37" applyNumberFormat="1" applyFont="1" applyFill="1" applyBorder="1" applyAlignment="1">
      <alignment horizontal="center" vertical="center"/>
    </xf>
    <xf numFmtId="4" fontId="26" fillId="5" borderId="38" xfId="37" applyNumberFormat="1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 wrapText="1"/>
    </xf>
    <xf numFmtId="0" fontId="27" fillId="4" borderId="4" xfId="0" applyFont="1" applyFill="1" applyBorder="1" applyAlignment="1">
      <alignment horizontal="center" vertical="center" wrapText="1"/>
    </xf>
    <xf numFmtId="0" fontId="27" fillId="4" borderId="5" xfId="0" applyFont="1" applyFill="1" applyBorder="1" applyAlignment="1">
      <alignment horizontal="center" vertical="center" wrapText="1"/>
    </xf>
    <xf numFmtId="4" fontId="26" fillId="5" borderId="23" xfId="37" applyNumberFormat="1" applyFont="1" applyFill="1" applyBorder="1" applyAlignment="1">
      <alignment horizontal="center" vertical="center"/>
    </xf>
    <xf numFmtId="4" fontId="26" fillId="7" borderId="37" xfId="37" applyNumberFormat="1" applyFont="1" applyFill="1" applyBorder="1" applyAlignment="1">
      <alignment horizontal="center" vertical="center"/>
    </xf>
    <xf numFmtId="43" fontId="26" fillId="3" borderId="37" xfId="37" applyFont="1" applyFill="1" applyBorder="1" applyAlignment="1">
      <alignment horizontal="center" vertical="center"/>
    </xf>
    <xf numFmtId="4" fontId="26" fillId="3" borderId="37" xfId="37" applyNumberFormat="1" applyFont="1" applyFill="1" applyBorder="1" applyAlignment="1">
      <alignment horizontal="center" vertical="center"/>
    </xf>
    <xf numFmtId="0" fontId="26" fillId="0" borderId="37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3" borderId="25" xfId="0" applyFont="1" applyFill="1" applyBorder="1" applyAlignment="1">
      <alignment horizontal="center" vertical="center"/>
    </xf>
    <xf numFmtId="43" fontId="26" fillId="3" borderId="25" xfId="37" applyFont="1" applyFill="1" applyBorder="1" applyAlignment="1">
      <alignment horizontal="center" vertical="center"/>
    </xf>
    <xf numFmtId="0" fontId="26" fillId="3" borderId="37" xfId="0" applyFont="1" applyFill="1" applyBorder="1" applyAlignment="1">
      <alignment horizontal="center" vertical="center"/>
    </xf>
    <xf numFmtId="4" fontId="26" fillId="5" borderId="25" xfId="37" applyNumberFormat="1" applyFont="1" applyFill="1" applyBorder="1" applyAlignment="1">
      <alignment horizontal="center" vertical="center"/>
    </xf>
    <xf numFmtId="4" fontId="26" fillId="5" borderId="26" xfId="37" applyNumberFormat="1" applyFont="1" applyFill="1" applyBorder="1" applyAlignment="1">
      <alignment horizontal="center" vertical="center"/>
    </xf>
    <xf numFmtId="4" fontId="26" fillId="3" borderId="25" xfId="37" applyNumberFormat="1" applyFont="1" applyFill="1" applyBorder="1" applyAlignment="1">
      <alignment horizontal="center" vertical="center"/>
    </xf>
    <xf numFmtId="4" fontId="26" fillId="7" borderId="25" xfId="37" applyNumberFormat="1" applyFont="1" applyFill="1" applyBorder="1" applyAlignment="1">
      <alignment horizontal="center" vertical="center"/>
    </xf>
    <xf numFmtId="0" fontId="58" fillId="0" borderId="28" xfId="0" applyFont="1" applyBorder="1" applyAlignment="1">
      <alignment horizontal="center" vertical="center"/>
    </xf>
    <xf numFmtId="0" fontId="58" fillId="0" borderId="40" xfId="0" applyFont="1" applyBorder="1" applyAlignment="1">
      <alignment horizontal="center" vertical="center"/>
    </xf>
    <xf numFmtId="0" fontId="58" fillId="0" borderId="30" xfId="0" applyFont="1" applyBorder="1" applyAlignment="1">
      <alignment horizontal="center" vertical="center"/>
    </xf>
    <xf numFmtId="0" fontId="27" fillId="4" borderId="53" xfId="0" applyFont="1" applyFill="1" applyBorder="1" applyAlignment="1">
      <alignment horizontal="center" vertical="center"/>
    </xf>
    <xf numFmtId="0" fontId="27" fillId="4" borderId="20" xfId="0" applyFont="1" applyFill="1" applyBorder="1" applyAlignment="1">
      <alignment horizontal="center" vertical="center"/>
    </xf>
    <xf numFmtId="0" fontId="27" fillId="4" borderId="35" xfId="0" applyFont="1" applyFill="1" applyBorder="1" applyAlignment="1">
      <alignment horizontal="center" vertical="center" wrapText="1"/>
    </xf>
    <xf numFmtId="0" fontId="27" fillId="4" borderId="37" xfId="0" applyFont="1" applyFill="1" applyBorder="1" applyAlignment="1">
      <alignment horizontal="center" vertical="center" wrapText="1"/>
    </xf>
    <xf numFmtId="0" fontId="27" fillId="4" borderId="35" xfId="0" applyFont="1" applyFill="1" applyBorder="1" applyAlignment="1">
      <alignment horizontal="center" vertical="center"/>
    </xf>
    <xf numFmtId="0" fontId="27" fillId="4" borderId="37" xfId="0" applyFont="1" applyFill="1" applyBorder="1" applyAlignment="1">
      <alignment horizontal="center" vertical="center"/>
    </xf>
    <xf numFmtId="0" fontId="27" fillId="4" borderId="36" xfId="0" applyFont="1" applyFill="1" applyBorder="1" applyAlignment="1">
      <alignment horizontal="center" vertical="center" wrapText="1"/>
    </xf>
    <xf numFmtId="0" fontId="27" fillId="4" borderId="38" xfId="0" applyFont="1" applyFill="1" applyBorder="1" applyAlignment="1">
      <alignment horizontal="center" vertical="center" wrapText="1"/>
    </xf>
    <xf numFmtId="0" fontId="25" fillId="11" borderId="24" xfId="55" applyFont="1" applyFill="1" applyBorder="1" applyAlignment="1">
      <alignment horizontal="center" vertical="center" wrapText="1"/>
    </xf>
    <xf numFmtId="0" fontId="25" fillId="11" borderId="25" xfId="55" applyFont="1" applyFill="1" applyBorder="1" applyAlignment="1">
      <alignment horizontal="center" vertical="center" wrapText="1"/>
    </xf>
    <xf numFmtId="0" fontId="25" fillId="11" borderId="26" xfId="55" applyFont="1" applyFill="1" applyBorder="1" applyAlignment="1">
      <alignment horizontal="center" vertical="center" wrapText="1"/>
    </xf>
    <xf numFmtId="0" fontId="25" fillId="11" borderId="19" xfId="55" applyFont="1" applyFill="1" applyBorder="1" applyAlignment="1">
      <alignment horizontal="center" vertical="center" wrapText="1"/>
    </xf>
    <xf numFmtId="0" fontId="25" fillId="11" borderId="13" xfId="55" applyFont="1" applyFill="1" applyBorder="1" applyAlignment="1">
      <alignment horizontal="center" vertical="center" wrapText="1"/>
    </xf>
    <xf numFmtId="0" fontId="25" fillId="11" borderId="14" xfId="55" applyFont="1" applyFill="1" applyBorder="1" applyAlignment="1">
      <alignment horizontal="center" vertical="center" wrapText="1"/>
    </xf>
    <xf numFmtId="0" fontId="58" fillId="15" borderId="3" xfId="55" applyFont="1" applyFill="1" applyBorder="1" applyAlignment="1">
      <alignment horizontal="center" vertical="center" wrapText="1"/>
    </xf>
    <xf numFmtId="0" fontId="58" fillId="15" borderId="4" xfId="55" applyFont="1" applyFill="1" applyBorder="1" applyAlignment="1">
      <alignment horizontal="center" vertical="center" wrapText="1"/>
    </xf>
    <xf numFmtId="0" fontId="58" fillId="15" borderId="5" xfId="55" applyFont="1" applyFill="1" applyBorder="1" applyAlignment="1">
      <alignment horizontal="center" vertical="center" wrapText="1"/>
    </xf>
    <xf numFmtId="49" fontId="20" fillId="3" borderId="15" xfId="52" applyNumberFormat="1" applyFont="1" applyFill="1" applyBorder="1" applyAlignment="1">
      <alignment horizontal="left" vertical="center"/>
    </xf>
    <xf numFmtId="49" fontId="20" fillId="3" borderId="2" xfId="52" applyNumberFormat="1" applyFont="1" applyFill="1" applyBorder="1" applyAlignment="1">
      <alignment horizontal="left" vertical="center"/>
    </xf>
    <xf numFmtId="49" fontId="20" fillId="3" borderId="12" xfId="52" applyNumberFormat="1" applyFont="1" applyFill="1" applyBorder="1" applyAlignment="1">
      <alignment horizontal="left" vertical="center"/>
    </xf>
    <xf numFmtId="0" fontId="20" fillId="4" borderId="26" xfId="7" applyFont="1" applyFill="1" applyBorder="1" applyAlignment="1">
      <alignment horizontal="center" vertical="center" wrapText="1"/>
    </xf>
    <xf numFmtId="0" fontId="27" fillId="3" borderId="3" xfId="7" applyFont="1" applyFill="1" applyBorder="1" applyAlignment="1">
      <alignment horizontal="center" vertical="center" wrapText="1"/>
    </xf>
    <xf numFmtId="0" fontId="27" fillId="3" borderId="4" xfId="7" applyFont="1" applyFill="1" applyBorder="1" applyAlignment="1">
      <alignment horizontal="center" vertical="center" wrapText="1"/>
    </xf>
    <xf numFmtId="0" fontId="27" fillId="3" borderId="5" xfId="7" applyFont="1" applyFill="1" applyBorder="1" applyAlignment="1">
      <alignment horizontal="center" vertical="center" wrapText="1"/>
    </xf>
    <xf numFmtId="0" fontId="20" fillId="4" borderId="56" xfId="7" applyFont="1" applyFill="1" applyBorder="1" applyAlignment="1">
      <alignment horizontal="center" vertical="center" wrapText="1"/>
    </xf>
    <xf numFmtId="0" fontId="20" fillId="4" borderId="15" xfId="7" applyFont="1" applyFill="1" applyBorder="1" applyAlignment="1">
      <alignment horizontal="center" vertical="center" wrapText="1"/>
    </xf>
    <xf numFmtId="43" fontId="20" fillId="3" borderId="0" xfId="9" applyFont="1" applyFill="1" applyAlignment="1">
      <alignment horizontal="center" vertical="center"/>
    </xf>
    <xf numFmtId="0" fontId="20" fillId="4" borderId="74" xfId="7" applyFont="1" applyFill="1" applyBorder="1" applyAlignment="1">
      <alignment horizontal="center" vertical="center" wrapText="1"/>
    </xf>
    <xf numFmtId="0" fontId="56" fillId="5" borderId="24" xfId="49" applyFont="1" applyFill="1" applyBorder="1" applyAlignment="1">
      <alignment horizontal="center" vertical="center"/>
    </xf>
    <xf numFmtId="0" fontId="56" fillId="5" borderId="25" xfId="49" applyFont="1" applyFill="1" applyBorder="1" applyAlignment="1">
      <alignment horizontal="center" vertical="center"/>
    </xf>
    <xf numFmtId="0" fontId="56" fillId="5" borderId="26" xfId="49" applyFont="1" applyFill="1" applyBorder="1" applyAlignment="1">
      <alignment horizontal="center" vertical="center"/>
    </xf>
    <xf numFmtId="0" fontId="56" fillId="0" borderId="21" xfId="49" applyFont="1" applyBorder="1" applyAlignment="1">
      <alignment horizontal="right" vertical="center"/>
    </xf>
    <xf numFmtId="0" fontId="56" fillId="0" borderId="22" xfId="49" applyFont="1" applyBorder="1" applyAlignment="1">
      <alignment horizontal="right" vertical="center"/>
    </xf>
    <xf numFmtId="0" fontId="31" fillId="5" borderId="13" xfId="0" applyFont="1" applyFill="1" applyBorder="1" applyAlignment="1">
      <alignment horizontal="center" vertical="center"/>
    </xf>
  </cellXfs>
  <cellStyles count="59">
    <cellStyle name="Hiperlink" xfId="27" builtinId="8"/>
    <cellStyle name="Moeda" xfId="31" builtinId="4"/>
    <cellStyle name="Normal" xfId="0" builtinId="0"/>
    <cellStyle name="Normal 10" xfId="39" xr:uid="{00000000-0005-0000-0000-000003000000}"/>
    <cellStyle name="Normal 10 2 2" xfId="7" xr:uid="{00000000-0005-0000-0000-000004000000}"/>
    <cellStyle name="Normal 12" xfId="32" xr:uid="{00000000-0005-0000-0000-000005000000}"/>
    <cellStyle name="Normal 13" xfId="50" xr:uid="{00000000-0005-0000-0000-000006000000}"/>
    <cellStyle name="Normal 13 10" xfId="12" xr:uid="{00000000-0005-0000-0000-000007000000}"/>
    <cellStyle name="Normal 14" xfId="55" xr:uid="{00000000-0005-0000-0000-000008000000}"/>
    <cellStyle name="Normal 2" xfId="1" xr:uid="{00000000-0005-0000-0000-000009000000}"/>
    <cellStyle name="Normal 2 2" xfId="6" xr:uid="{00000000-0005-0000-0000-00000A000000}"/>
    <cellStyle name="Normal 2 2 33" xfId="8" xr:uid="{00000000-0005-0000-0000-00000B000000}"/>
    <cellStyle name="Normal 2 235" xfId="13" xr:uid="{00000000-0005-0000-0000-00000C000000}"/>
    <cellStyle name="Normal 2 3" xfId="24" xr:uid="{00000000-0005-0000-0000-00000D000000}"/>
    <cellStyle name="Normal 2 4" xfId="43" xr:uid="{00000000-0005-0000-0000-00000E000000}"/>
    <cellStyle name="Normal 3" xfId="3" xr:uid="{00000000-0005-0000-0000-00000F000000}"/>
    <cellStyle name="Normal 3 19" xfId="20" xr:uid="{00000000-0005-0000-0000-000010000000}"/>
    <cellStyle name="Normal 3 19 2" xfId="29" xr:uid="{00000000-0005-0000-0000-000011000000}"/>
    <cellStyle name="Normal 3 19 2 2" xfId="49" xr:uid="{00000000-0005-0000-0000-000012000000}"/>
    <cellStyle name="Normal 3 19 2 2 3" xfId="52" xr:uid="{00000000-0005-0000-0000-000013000000}"/>
    <cellStyle name="Normal 3 19 3" xfId="35" xr:uid="{00000000-0005-0000-0000-000014000000}"/>
    <cellStyle name="Normal 3 19 5" xfId="53" xr:uid="{00000000-0005-0000-0000-000015000000}"/>
    <cellStyle name="Normal 3 2" xfId="40" xr:uid="{00000000-0005-0000-0000-000016000000}"/>
    <cellStyle name="Normal 4" xfId="5" xr:uid="{00000000-0005-0000-0000-000017000000}"/>
    <cellStyle name="Normal 4 2" xfId="41" xr:uid="{00000000-0005-0000-0000-000018000000}"/>
    <cellStyle name="Normal 42" xfId="25" xr:uid="{00000000-0005-0000-0000-000019000000}"/>
    <cellStyle name="Normal 42 2" xfId="36" xr:uid="{00000000-0005-0000-0000-00001A000000}"/>
    <cellStyle name="Normal 5" xfId="10" xr:uid="{00000000-0005-0000-0000-00001B000000}"/>
    <cellStyle name="Normal 5 2" xfId="44" xr:uid="{00000000-0005-0000-0000-00001C000000}"/>
    <cellStyle name="Normal 5 2 2" xfId="57" xr:uid="{00000000-0005-0000-0000-00001D000000}"/>
    <cellStyle name="Normal 6" xfId="14" xr:uid="{00000000-0005-0000-0000-00001E000000}"/>
    <cellStyle name="Normal 7" xfId="21" xr:uid="{00000000-0005-0000-0000-00001F000000}"/>
    <cellStyle name="Normal 8" xfId="23" xr:uid="{00000000-0005-0000-0000-000020000000}"/>
    <cellStyle name="Normal 8 2" xfId="33" xr:uid="{00000000-0005-0000-0000-000021000000}"/>
    <cellStyle name="Normal 9" xfId="26" xr:uid="{00000000-0005-0000-0000-000022000000}"/>
    <cellStyle name="Normal 9 2" xfId="47" xr:uid="{00000000-0005-0000-0000-000023000000}"/>
    <cellStyle name="Porcentagem 2" xfId="2" xr:uid="{00000000-0005-0000-0000-000024000000}"/>
    <cellStyle name="Porcentagem 2 10" xfId="17" xr:uid="{00000000-0005-0000-0000-000025000000}"/>
    <cellStyle name="Porcentagem 20" xfId="19" xr:uid="{00000000-0005-0000-0000-000026000000}"/>
    <cellStyle name="Porcentagem 22" xfId="38" xr:uid="{00000000-0005-0000-0000-000027000000}"/>
    <cellStyle name="Porcentagem 3" xfId="18" xr:uid="{00000000-0005-0000-0000-000028000000}"/>
    <cellStyle name="Porcentagem 4" xfId="28" xr:uid="{00000000-0005-0000-0000-000029000000}"/>
    <cellStyle name="Porcentagem 4 2" xfId="48" xr:uid="{00000000-0005-0000-0000-00002A000000}"/>
    <cellStyle name="Porcentagem 5" xfId="46" xr:uid="{00000000-0005-0000-0000-00002B000000}"/>
    <cellStyle name="Porcentagem 5 2" xfId="58" xr:uid="{00000000-0005-0000-0000-00002C000000}"/>
    <cellStyle name="Porcentagem 6" xfId="34" xr:uid="{00000000-0005-0000-0000-00002D000000}"/>
    <cellStyle name="Porcentagem 7" xfId="51" xr:uid="{00000000-0005-0000-0000-00002E000000}"/>
    <cellStyle name="Separador de milhares 10" xfId="9" xr:uid="{00000000-0005-0000-0000-00002F000000}"/>
    <cellStyle name="Vírgula 2" xfId="11" xr:uid="{00000000-0005-0000-0000-000030000000}"/>
    <cellStyle name="Vírgula 2 2" xfId="16" xr:uid="{00000000-0005-0000-0000-000031000000}"/>
    <cellStyle name="Vírgula 2 3" xfId="45" xr:uid="{00000000-0005-0000-0000-000032000000}"/>
    <cellStyle name="Vírgula 3" xfId="4" xr:uid="{00000000-0005-0000-0000-000033000000}"/>
    <cellStyle name="Vírgula 4" xfId="15" xr:uid="{00000000-0005-0000-0000-000034000000}"/>
    <cellStyle name="Vírgula 5" xfId="22" xr:uid="{00000000-0005-0000-0000-000035000000}"/>
    <cellStyle name="Vírgula 5 2" xfId="37" xr:uid="{00000000-0005-0000-0000-000036000000}"/>
    <cellStyle name="Vírgula 6" xfId="30" xr:uid="{00000000-0005-0000-0000-000037000000}"/>
    <cellStyle name="Vírgula 7" xfId="42" xr:uid="{00000000-0005-0000-0000-000038000000}"/>
    <cellStyle name="Vírgula 8" xfId="54" xr:uid="{00000000-0005-0000-0000-000039000000}"/>
    <cellStyle name="Vírgula 8 2" xfId="56" xr:uid="{00000000-0005-0000-0000-00003A00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jpg"/><Relationship Id="rId4" Type="http://schemas.openxmlformats.org/officeDocument/2006/relationships/image" Target="../media/image10.png"/><Relationship Id="rId9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13" Type="http://schemas.openxmlformats.org/officeDocument/2006/relationships/image" Target="../media/image24.jpg"/><Relationship Id="rId3" Type="http://schemas.openxmlformats.org/officeDocument/2006/relationships/image" Target="../media/image9.png"/><Relationship Id="rId7" Type="http://schemas.openxmlformats.org/officeDocument/2006/relationships/image" Target="../media/image15.jpg"/><Relationship Id="rId12" Type="http://schemas.openxmlformats.org/officeDocument/2006/relationships/image" Target="../media/image23.jpg"/><Relationship Id="rId2" Type="http://schemas.openxmlformats.org/officeDocument/2006/relationships/image" Target="../media/image8.png"/><Relationship Id="rId16" Type="http://schemas.openxmlformats.org/officeDocument/2006/relationships/image" Target="../media/image27.jpeg"/><Relationship Id="rId1" Type="http://schemas.openxmlformats.org/officeDocument/2006/relationships/image" Target="../media/image7.png"/><Relationship Id="rId6" Type="http://schemas.openxmlformats.org/officeDocument/2006/relationships/image" Target="../media/image19.png"/><Relationship Id="rId11" Type="http://schemas.openxmlformats.org/officeDocument/2006/relationships/image" Target="../media/image22.jpg"/><Relationship Id="rId5" Type="http://schemas.openxmlformats.org/officeDocument/2006/relationships/image" Target="../media/image12.png"/><Relationship Id="rId15" Type="http://schemas.openxmlformats.org/officeDocument/2006/relationships/image" Target="../media/image26.jpg"/><Relationship Id="rId10" Type="http://schemas.openxmlformats.org/officeDocument/2006/relationships/image" Target="../media/image21.jpg"/><Relationship Id="rId4" Type="http://schemas.openxmlformats.org/officeDocument/2006/relationships/image" Target="../media/image11.png"/><Relationship Id="rId9" Type="http://schemas.openxmlformats.org/officeDocument/2006/relationships/image" Target="../media/image20.jpg"/><Relationship Id="rId14" Type="http://schemas.openxmlformats.org/officeDocument/2006/relationships/image" Target="../media/image25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113600</xdr:colOff>
      <xdr:row>4</xdr:row>
      <xdr:rowOff>62823</xdr:rowOff>
    </xdr:from>
    <xdr:ext cx="1374682" cy="4749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SpPr txBox="1"/>
          </xdr:nvSpPr>
          <xdr:spPr>
            <a:xfrm>
              <a:off x="0" y="901023"/>
              <a:ext cx="1374682" cy="4749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400" b="0" i="1">
                        <a:latin typeface="Cambria Math" panose="02040503050406030204" pitchFamily="18" charset="0"/>
                      </a:rPr>
                      <m:t>𝐼</m:t>
                    </m:r>
                    <m:r>
                      <a:rPr lang="pt-BR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400" b="0" i="1">
                            <a:latin typeface="Cambria Math" panose="02040503050406030204" pitchFamily="18" charset="0"/>
                          </a:rPr>
                          <m:t>𝑎</m:t>
                        </m:r>
                        <m:r>
                          <a:rPr lang="pt-BR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</m:t>
                        </m:r>
                        <m:sSup>
                          <m:sSupPr>
                            <m:ctrlPr>
                              <a:rPr lang="pt-BR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t-BR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𝑇𝑟</m:t>
                            </m:r>
                          </m:e>
                          <m:sup>
                            <m:r>
                              <a:rPr lang="pt-BR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𝑏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pt-BR" sz="14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(</m:t>
                            </m:r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𝑡𝑐</m:t>
                            </m:r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𝑐</m:t>
                            </m:r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)</m:t>
                            </m:r>
                          </m:e>
                          <m:sup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SpPr txBox="1"/>
          </xdr:nvSpPr>
          <xdr:spPr>
            <a:xfrm>
              <a:off x="0" y="901023"/>
              <a:ext cx="1374682" cy="4749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400" b="0" i="0">
                  <a:latin typeface="Cambria Math" panose="02040503050406030204" pitchFamily="18" charset="0"/>
                </a:rPr>
                <a:t>𝐼=(𝑎</a:t>
              </a:r>
              <a:r>
                <a:rPr lang="pt-BR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×〖𝑇𝑟〗^𝑏)/〖</a:t>
              </a:r>
              <a:r>
                <a:rPr lang="pt-BR" sz="1400" b="0" i="0">
                  <a:latin typeface="Cambria Math" panose="02040503050406030204" pitchFamily="18" charset="0"/>
                </a:rPr>
                <a:t>(𝑡𝑐+𝑐)〗^𝑑 </a:t>
              </a:r>
              <a:endParaRPr lang="pt-BR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285478</xdr:colOff>
      <xdr:row>4</xdr:row>
      <xdr:rowOff>228015</xdr:rowOff>
    </xdr:from>
    <xdr:ext cx="954477" cy="298662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744" t="40155" r="46400" b="49897"/>
        <a:stretch/>
      </xdr:blipFill>
      <xdr:spPr>
        <a:xfrm>
          <a:off x="2683537" y="2245074"/>
          <a:ext cx="954477" cy="298662"/>
        </a:xfrm>
        <a:prstGeom prst="rect">
          <a:avLst/>
        </a:prstGeom>
      </xdr:spPr>
    </xdr:pic>
    <xdr:clientData/>
  </xdr:oneCellAnchor>
  <xdr:oneCellAnchor>
    <xdr:from>
      <xdr:col>2</xdr:col>
      <xdr:colOff>411241</xdr:colOff>
      <xdr:row>11</xdr:row>
      <xdr:rowOff>38737</xdr:rowOff>
    </xdr:from>
    <xdr:ext cx="503640" cy="396691"/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529" t="29561" r="32643" b="36712"/>
        <a:stretch/>
      </xdr:blipFill>
      <xdr:spPr>
        <a:xfrm>
          <a:off x="2811541" y="4077337"/>
          <a:ext cx="503640" cy="396691"/>
        </a:xfrm>
        <a:prstGeom prst="rect">
          <a:avLst/>
        </a:prstGeom>
      </xdr:spPr>
    </xdr:pic>
    <xdr:clientData/>
  </xdr:oneCellAnchor>
  <xdr:twoCellAnchor>
    <xdr:from>
      <xdr:col>2</xdr:col>
      <xdr:colOff>209130</xdr:colOff>
      <xdr:row>12</xdr:row>
      <xdr:rowOff>265864</xdr:rowOff>
    </xdr:from>
    <xdr:to>
      <xdr:col>2</xdr:col>
      <xdr:colOff>1095375</xdr:colOff>
      <xdr:row>12</xdr:row>
      <xdr:rowOff>266700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2609430" y="4809289"/>
          <a:ext cx="886245" cy="836"/>
        </a:xfrm>
        <a:prstGeom prst="line">
          <a:avLst/>
        </a:prstGeom>
        <a:ln w="889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200197</xdr:colOff>
      <xdr:row>13</xdr:row>
      <xdr:rowOff>57262</xdr:rowOff>
    </xdr:from>
    <xdr:ext cx="983625" cy="444144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4190" t="31243" r="29050" b="35928"/>
        <a:stretch/>
      </xdr:blipFill>
      <xdr:spPr>
        <a:xfrm>
          <a:off x="2600497" y="5105512"/>
          <a:ext cx="983625" cy="444144"/>
        </a:xfrm>
        <a:prstGeom prst="rect">
          <a:avLst/>
        </a:prstGeom>
      </xdr:spPr>
    </xdr:pic>
    <xdr:clientData/>
  </xdr:oneCellAnchor>
  <xdr:oneCellAnchor>
    <xdr:from>
      <xdr:col>2</xdr:col>
      <xdr:colOff>494698</xdr:colOff>
      <xdr:row>19</xdr:row>
      <xdr:rowOff>36142</xdr:rowOff>
    </xdr:from>
    <xdr:ext cx="399825" cy="409659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9020" t="21215" r="38534" b="38039"/>
        <a:stretch/>
      </xdr:blipFill>
      <xdr:spPr>
        <a:xfrm>
          <a:off x="2894998" y="8618167"/>
          <a:ext cx="399825" cy="409659"/>
        </a:xfrm>
        <a:prstGeom prst="rect">
          <a:avLst/>
        </a:prstGeom>
      </xdr:spPr>
    </xdr:pic>
    <xdr:clientData/>
  </xdr:oneCellAnchor>
  <xdr:oneCellAnchor>
    <xdr:from>
      <xdr:col>2</xdr:col>
      <xdr:colOff>476251</xdr:colOff>
      <xdr:row>20</xdr:row>
      <xdr:rowOff>38100</xdr:rowOff>
    </xdr:from>
    <xdr:ext cx="447674" cy="429308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76551" y="9124950"/>
          <a:ext cx="447674" cy="429308"/>
        </a:xfrm>
        <a:prstGeom prst="rect">
          <a:avLst/>
        </a:prstGeom>
      </xdr:spPr>
    </xdr:pic>
    <xdr:clientData/>
  </xdr:oneCellAnchor>
  <xdr:oneCellAnchor>
    <xdr:from>
      <xdr:col>2</xdr:col>
      <xdr:colOff>167304</xdr:colOff>
      <xdr:row>14</xdr:row>
      <xdr:rowOff>221938</xdr:rowOff>
    </xdr:from>
    <xdr:ext cx="953925" cy="408695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7354" t="33063" r="17198" b="32759"/>
        <a:stretch/>
      </xdr:blipFill>
      <xdr:spPr>
        <a:xfrm>
          <a:off x="2575768" y="7937188"/>
          <a:ext cx="953925" cy="408695"/>
        </a:xfrm>
        <a:prstGeom prst="rect">
          <a:avLst/>
        </a:prstGeom>
      </xdr:spPr>
    </xdr:pic>
    <xdr:clientData/>
  </xdr:oneCellAnchor>
  <xdr:oneCellAnchor>
    <xdr:from>
      <xdr:col>2</xdr:col>
      <xdr:colOff>217715</xdr:colOff>
      <xdr:row>25</xdr:row>
      <xdr:rowOff>54430</xdr:rowOff>
    </xdr:from>
    <xdr:ext cx="829834" cy="405848"/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18015" y="11665405"/>
          <a:ext cx="829834" cy="405848"/>
        </a:xfrm>
        <a:prstGeom prst="rect">
          <a:avLst/>
        </a:prstGeom>
      </xdr:spPr>
    </xdr:pic>
    <xdr:clientData/>
  </xdr:oneCellAnchor>
  <xdr:oneCellAnchor>
    <xdr:from>
      <xdr:col>2</xdr:col>
      <xdr:colOff>254286</xdr:colOff>
      <xdr:row>5</xdr:row>
      <xdr:rowOff>168967</xdr:rowOff>
    </xdr:from>
    <xdr:ext cx="1062650" cy="323356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177" t="38959" r="37622" b="45739"/>
        <a:stretch/>
      </xdr:blipFill>
      <xdr:spPr>
        <a:xfrm>
          <a:off x="2654586" y="2188267"/>
          <a:ext cx="1062650" cy="323356"/>
        </a:xfrm>
        <a:prstGeom prst="rect">
          <a:avLst/>
        </a:prstGeom>
      </xdr:spPr>
    </xdr:pic>
    <xdr:clientData/>
  </xdr:oneCellAnchor>
  <xdr:twoCellAnchor>
    <xdr:from>
      <xdr:col>2</xdr:col>
      <xdr:colOff>277089</xdr:colOff>
      <xdr:row>6</xdr:row>
      <xdr:rowOff>51954</xdr:rowOff>
    </xdr:from>
    <xdr:to>
      <xdr:col>2</xdr:col>
      <xdr:colOff>1166089</xdr:colOff>
      <xdr:row>6</xdr:row>
      <xdr:rowOff>483954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539" y="2156979"/>
          <a:ext cx="889000" cy="432000"/>
        </a:xfrm>
        <a:prstGeom prst="rect">
          <a:avLst/>
        </a:prstGeom>
      </xdr:spPr>
    </xdr:pic>
    <xdr:clientData fLocksWithSheet="0"/>
  </xdr:twoCellAnchor>
  <xdr:twoCellAnchor>
    <xdr:from>
      <xdr:col>2</xdr:col>
      <xdr:colOff>311727</xdr:colOff>
      <xdr:row>7</xdr:row>
      <xdr:rowOff>69272</xdr:rowOff>
    </xdr:from>
    <xdr:to>
      <xdr:col>2</xdr:col>
      <xdr:colOff>1200727</xdr:colOff>
      <xdr:row>7</xdr:row>
      <xdr:rowOff>501272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177" y="3241097"/>
          <a:ext cx="889000" cy="432000"/>
        </a:xfrm>
        <a:prstGeom prst="rect">
          <a:avLst/>
        </a:prstGeom>
      </xdr:spPr>
    </xdr:pic>
    <xdr:clientData fLocksWithSheet="0"/>
  </xdr:twoCellAnchor>
  <xdr:twoCellAnchor editAs="oneCell">
    <xdr:from>
      <xdr:col>2</xdr:col>
      <xdr:colOff>450274</xdr:colOff>
      <xdr:row>21</xdr:row>
      <xdr:rowOff>34637</xdr:rowOff>
    </xdr:from>
    <xdr:to>
      <xdr:col>2</xdr:col>
      <xdr:colOff>909332</xdr:colOff>
      <xdr:row>21</xdr:row>
      <xdr:rowOff>415637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40183" y="11308773"/>
          <a:ext cx="459058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89646</xdr:colOff>
      <xdr:row>15</xdr:row>
      <xdr:rowOff>134470</xdr:rowOff>
    </xdr:from>
    <xdr:to>
      <xdr:col>2</xdr:col>
      <xdr:colOff>1213456</xdr:colOff>
      <xdr:row>15</xdr:row>
      <xdr:rowOff>534470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F2BE9D8A-7725-1CBC-0793-30256F914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87705" y="8639735"/>
          <a:ext cx="1123810" cy="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113600</xdr:colOff>
      <xdr:row>4</xdr:row>
      <xdr:rowOff>62823</xdr:rowOff>
    </xdr:from>
    <xdr:ext cx="1374682" cy="4749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0000000-0008-0000-0C00-000002000000}"/>
                </a:ext>
              </a:extLst>
            </xdr:cNvPr>
            <xdr:cNvSpPr txBox="1"/>
          </xdr:nvSpPr>
          <xdr:spPr>
            <a:xfrm>
              <a:off x="1504250" y="901023"/>
              <a:ext cx="1374682" cy="4749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400" b="0" i="1">
                        <a:latin typeface="Cambria Math" panose="02040503050406030204" pitchFamily="18" charset="0"/>
                      </a:rPr>
                      <m:t>𝐼</m:t>
                    </m:r>
                    <m:r>
                      <a:rPr lang="pt-BR" sz="1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400" b="0" i="1">
                            <a:latin typeface="Cambria Math" panose="02040503050406030204" pitchFamily="18" charset="0"/>
                          </a:rPr>
                          <m:t>𝑎</m:t>
                        </m:r>
                        <m:r>
                          <a:rPr lang="pt-BR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</m:t>
                        </m:r>
                        <m:sSup>
                          <m:sSupPr>
                            <m:ctrlPr>
                              <a:rPr lang="pt-BR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t-BR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𝑇𝑟</m:t>
                            </m:r>
                          </m:e>
                          <m:sup>
                            <m:r>
                              <a:rPr lang="pt-BR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𝑏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pt-BR" sz="14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(</m:t>
                            </m:r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𝑡𝑐</m:t>
                            </m:r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𝑐</m:t>
                            </m:r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)</m:t>
                            </m:r>
                          </m:e>
                          <m:sup>
                            <m:r>
                              <a:rPr lang="pt-BR" sz="14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SpPr txBox="1"/>
          </xdr:nvSpPr>
          <xdr:spPr>
            <a:xfrm>
              <a:off x="1504250" y="901023"/>
              <a:ext cx="1374682" cy="4749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400" b="0" i="0">
                  <a:latin typeface="Cambria Math" panose="02040503050406030204" pitchFamily="18" charset="0"/>
                </a:rPr>
                <a:t>𝐼=(𝑎</a:t>
              </a:r>
              <a:r>
                <a:rPr lang="pt-BR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×〖𝑇𝑟〗^𝑏)/〖</a:t>
              </a:r>
              <a:r>
                <a:rPr lang="pt-BR" sz="1400" b="0" i="0">
                  <a:latin typeface="Cambria Math" panose="02040503050406030204" pitchFamily="18" charset="0"/>
                </a:rPr>
                <a:t>(𝑡𝑐+𝑐)〗^𝑑 </a:t>
              </a:r>
              <a:endParaRPr lang="pt-BR" sz="1100"/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211681</xdr:colOff>
      <xdr:row>4</xdr:row>
      <xdr:rowOff>115955</xdr:rowOff>
    </xdr:from>
    <xdr:ext cx="1005863" cy="314741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744" t="40155" r="46400" b="49897"/>
        <a:stretch/>
      </xdr:blipFill>
      <xdr:spPr>
        <a:xfrm>
          <a:off x="2611981" y="1630430"/>
          <a:ext cx="1005863" cy="314741"/>
        </a:xfrm>
        <a:prstGeom prst="rect">
          <a:avLst/>
        </a:prstGeom>
      </xdr:spPr>
    </xdr:pic>
    <xdr:clientData/>
  </xdr:oneCellAnchor>
  <xdr:oneCellAnchor>
    <xdr:from>
      <xdr:col>2</xdr:col>
      <xdr:colOff>411241</xdr:colOff>
      <xdr:row>11</xdr:row>
      <xdr:rowOff>38737</xdr:rowOff>
    </xdr:from>
    <xdr:ext cx="503640" cy="396691"/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529" t="29561" r="32643" b="36712"/>
        <a:stretch/>
      </xdr:blipFill>
      <xdr:spPr>
        <a:xfrm>
          <a:off x="2811541" y="5744212"/>
          <a:ext cx="503640" cy="396691"/>
        </a:xfrm>
        <a:prstGeom prst="rect">
          <a:avLst/>
        </a:prstGeom>
      </xdr:spPr>
    </xdr:pic>
    <xdr:clientData/>
  </xdr:oneCellAnchor>
  <xdr:twoCellAnchor>
    <xdr:from>
      <xdr:col>2</xdr:col>
      <xdr:colOff>209130</xdr:colOff>
      <xdr:row>12</xdr:row>
      <xdr:rowOff>265864</xdr:rowOff>
    </xdr:from>
    <xdr:to>
      <xdr:col>2</xdr:col>
      <xdr:colOff>1095375</xdr:colOff>
      <xdr:row>12</xdr:row>
      <xdr:rowOff>266700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CxnSpPr/>
      </xdr:nvCxnSpPr>
      <xdr:spPr>
        <a:xfrm>
          <a:off x="2609430" y="6476164"/>
          <a:ext cx="886245" cy="836"/>
        </a:xfrm>
        <a:prstGeom prst="line">
          <a:avLst/>
        </a:prstGeom>
        <a:ln w="889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200197</xdr:colOff>
      <xdr:row>13</xdr:row>
      <xdr:rowOff>57262</xdr:rowOff>
    </xdr:from>
    <xdr:ext cx="983625" cy="444144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4190" t="31243" r="29050" b="35928"/>
        <a:stretch/>
      </xdr:blipFill>
      <xdr:spPr>
        <a:xfrm>
          <a:off x="2600497" y="6772387"/>
          <a:ext cx="983625" cy="444144"/>
        </a:xfrm>
        <a:prstGeom prst="rect">
          <a:avLst/>
        </a:prstGeom>
      </xdr:spPr>
    </xdr:pic>
    <xdr:clientData/>
  </xdr:oneCellAnchor>
  <xdr:oneCellAnchor>
    <xdr:from>
      <xdr:col>2</xdr:col>
      <xdr:colOff>476251</xdr:colOff>
      <xdr:row>21</xdr:row>
      <xdr:rowOff>38100</xdr:rowOff>
    </xdr:from>
    <xdr:ext cx="447674" cy="429308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6551" y="10839450"/>
          <a:ext cx="447674" cy="429308"/>
        </a:xfrm>
        <a:prstGeom prst="rect">
          <a:avLst/>
        </a:prstGeom>
      </xdr:spPr>
    </xdr:pic>
    <xdr:clientData/>
  </xdr:oneCellAnchor>
  <xdr:oneCellAnchor>
    <xdr:from>
      <xdr:col>2</xdr:col>
      <xdr:colOff>167304</xdr:colOff>
      <xdr:row>14</xdr:row>
      <xdr:rowOff>58653</xdr:rowOff>
    </xdr:from>
    <xdr:ext cx="953925" cy="408695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354" t="33063" r="17198" b="32759"/>
        <a:stretch/>
      </xdr:blipFill>
      <xdr:spPr>
        <a:xfrm>
          <a:off x="2567604" y="7278603"/>
          <a:ext cx="953925" cy="408695"/>
        </a:xfrm>
        <a:prstGeom prst="rect">
          <a:avLst/>
        </a:prstGeom>
      </xdr:spPr>
    </xdr:pic>
    <xdr:clientData/>
  </xdr:oneCellAnchor>
  <xdr:twoCellAnchor editAs="oneCell">
    <xdr:from>
      <xdr:col>2</xdr:col>
      <xdr:colOff>108858</xdr:colOff>
      <xdr:row>15</xdr:row>
      <xdr:rowOff>68035</xdr:rowOff>
    </xdr:from>
    <xdr:to>
      <xdr:col>2</xdr:col>
      <xdr:colOff>1224644</xdr:colOff>
      <xdr:row>15</xdr:row>
      <xdr:rowOff>472496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09158" y="8069035"/>
          <a:ext cx="1115786" cy="404461"/>
        </a:xfrm>
        <a:prstGeom prst="rect">
          <a:avLst/>
        </a:prstGeom>
      </xdr:spPr>
    </xdr:pic>
    <xdr:clientData/>
  </xdr:twoCellAnchor>
  <xdr:twoCellAnchor>
    <xdr:from>
      <xdr:col>2</xdr:col>
      <xdr:colOff>277089</xdr:colOff>
      <xdr:row>6</xdr:row>
      <xdr:rowOff>51954</xdr:rowOff>
    </xdr:from>
    <xdr:to>
      <xdr:col>2</xdr:col>
      <xdr:colOff>1166089</xdr:colOff>
      <xdr:row>6</xdr:row>
      <xdr:rowOff>483954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389" y="3023754"/>
          <a:ext cx="889000" cy="432000"/>
        </a:xfrm>
        <a:prstGeom prst="rect">
          <a:avLst/>
        </a:prstGeom>
      </xdr:spPr>
    </xdr:pic>
    <xdr:clientData fLocksWithSheet="0"/>
  </xdr:twoCellAnchor>
  <xdr:twoCellAnchor>
    <xdr:from>
      <xdr:col>2</xdr:col>
      <xdr:colOff>311727</xdr:colOff>
      <xdr:row>7</xdr:row>
      <xdr:rowOff>69272</xdr:rowOff>
    </xdr:from>
    <xdr:to>
      <xdr:col>2</xdr:col>
      <xdr:colOff>1200727</xdr:colOff>
      <xdr:row>7</xdr:row>
      <xdr:rowOff>501272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027" y="3726872"/>
          <a:ext cx="889000" cy="432000"/>
        </a:xfrm>
        <a:prstGeom prst="rect">
          <a:avLst/>
        </a:prstGeom>
      </xdr:spPr>
    </xdr:pic>
    <xdr:clientData fLocksWithSheet="0"/>
  </xdr:twoCellAnchor>
  <xdr:twoCellAnchor>
    <xdr:from>
      <xdr:col>2</xdr:col>
      <xdr:colOff>467591</xdr:colOff>
      <xdr:row>22</xdr:row>
      <xdr:rowOff>51954</xdr:rowOff>
    </xdr:from>
    <xdr:to>
      <xdr:col>2</xdr:col>
      <xdr:colOff>900545</xdr:colOff>
      <xdr:row>22</xdr:row>
      <xdr:rowOff>467591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10823863"/>
          <a:ext cx="432954" cy="415637"/>
        </a:xfrm>
        <a:prstGeom prst="rect">
          <a:avLst/>
        </a:prstGeom>
      </xdr:spPr>
    </xdr:pic>
    <xdr:clientData fLocksWithSheet="0"/>
  </xdr:twoCellAnchor>
  <xdr:twoCellAnchor>
    <xdr:from>
      <xdr:col>2</xdr:col>
      <xdr:colOff>606136</xdr:colOff>
      <xdr:row>23</xdr:row>
      <xdr:rowOff>69273</xdr:rowOff>
    </xdr:from>
    <xdr:to>
      <xdr:col>2</xdr:col>
      <xdr:colOff>779318</xdr:colOff>
      <xdr:row>23</xdr:row>
      <xdr:rowOff>467592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5" y="11343409"/>
          <a:ext cx="173182" cy="398319"/>
        </a:xfrm>
        <a:prstGeom prst="rect">
          <a:avLst/>
        </a:prstGeom>
      </xdr:spPr>
    </xdr:pic>
    <xdr:clientData fLocksWithSheet="0"/>
  </xdr:twoCellAnchor>
  <xdr:twoCellAnchor>
    <xdr:from>
      <xdr:col>2</xdr:col>
      <xdr:colOff>606136</xdr:colOff>
      <xdr:row>24</xdr:row>
      <xdr:rowOff>34636</xdr:rowOff>
    </xdr:from>
    <xdr:to>
      <xdr:col>2</xdr:col>
      <xdr:colOff>796636</xdr:colOff>
      <xdr:row>24</xdr:row>
      <xdr:rowOff>484908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5" y="11811000"/>
          <a:ext cx="190500" cy="450272"/>
        </a:xfrm>
        <a:prstGeom prst="rect">
          <a:avLst/>
        </a:prstGeom>
      </xdr:spPr>
    </xdr:pic>
    <xdr:clientData fLocksWithSheet="0"/>
  </xdr:twoCellAnchor>
  <xdr:twoCellAnchor>
    <xdr:from>
      <xdr:col>2</xdr:col>
      <xdr:colOff>450273</xdr:colOff>
      <xdr:row>25</xdr:row>
      <xdr:rowOff>86591</xdr:rowOff>
    </xdr:from>
    <xdr:to>
      <xdr:col>2</xdr:col>
      <xdr:colOff>865909</xdr:colOff>
      <xdr:row>25</xdr:row>
      <xdr:rowOff>484909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0182" y="12365182"/>
          <a:ext cx="415636" cy="398318"/>
        </a:xfrm>
        <a:prstGeom prst="rect">
          <a:avLst/>
        </a:prstGeom>
      </xdr:spPr>
    </xdr:pic>
    <xdr:clientData fLocksWithSheet="0"/>
  </xdr:twoCellAnchor>
  <xdr:twoCellAnchor>
    <xdr:from>
      <xdr:col>2</xdr:col>
      <xdr:colOff>450273</xdr:colOff>
      <xdr:row>26</xdr:row>
      <xdr:rowOff>51955</xdr:rowOff>
    </xdr:from>
    <xdr:to>
      <xdr:col>2</xdr:col>
      <xdr:colOff>848591</xdr:colOff>
      <xdr:row>26</xdr:row>
      <xdr:rowOff>450273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0182" y="13023273"/>
          <a:ext cx="398318" cy="398318"/>
        </a:xfrm>
        <a:prstGeom prst="rect">
          <a:avLst/>
        </a:prstGeom>
      </xdr:spPr>
    </xdr:pic>
    <xdr:clientData fLocksWithSheet="0"/>
  </xdr:twoCellAnchor>
  <xdr:twoCellAnchor>
    <xdr:from>
      <xdr:col>2</xdr:col>
      <xdr:colOff>190500</xdr:colOff>
      <xdr:row>16</xdr:row>
      <xdr:rowOff>103909</xdr:rowOff>
    </xdr:from>
    <xdr:to>
      <xdr:col>2</xdr:col>
      <xdr:colOff>1079500</xdr:colOff>
      <xdr:row>16</xdr:row>
      <xdr:rowOff>611909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09" y="8156864"/>
          <a:ext cx="889000" cy="508000"/>
        </a:xfrm>
        <a:prstGeom prst="rect">
          <a:avLst/>
        </a:prstGeom>
      </xdr:spPr>
    </xdr:pic>
    <xdr:clientData fLocksWithSheet="0"/>
  </xdr:twoCellAnchor>
  <xdr:twoCellAnchor>
    <xdr:from>
      <xdr:col>2</xdr:col>
      <xdr:colOff>173182</xdr:colOff>
      <xdr:row>17</xdr:row>
      <xdr:rowOff>155863</xdr:rowOff>
    </xdr:from>
    <xdr:to>
      <xdr:col>2</xdr:col>
      <xdr:colOff>1062182</xdr:colOff>
      <xdr:row>17</xdr:row>
      <xdr:rowOff>663863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3091" y="8988136"/>
          <a:ext cx="889000" cy="508000"/>
        </a:xfrm>
        <a:prstGeom prst="rect">
          <a:avLst/>
        </a:prstGeom>
      </xdr:spPr>
    </xdr:pic>
    <xdr:clientData fLocksWithSheet="0"/>
  </xdr:twoCellAnchor>
  <xdr:twoCellAnchor>
    <xdr:from>
      <xdr:col>2</xdr:col>
      <xdr:colOff>242454</xdr:colOff>
      <xdr:row>5</xdr:row>
      <xdr:rowOff>103909</xdr:rowOff>
    </xdr:from>
    <xdr:to>
      <xdr:col>2</xdr:col>
      <xdr:colOff>1131454</xdr:colOff>
      <xdr:row>5</xdr:row>
      <xdr:rowOff>611909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3" y="2355273"/>
          <a:ext cx="889000" cy="508000"/>
        </a:xfrm>
        <a:prstGeom prst="rect">
          <a:avLst/>
        </a:prstGeom>
      </xdr:spPr>
    </xdr:pic>
    <xdr:clientData fLocksWithSheet="0"/>
  </xdr:twoCellAnchor>
  <xdr:twoCellAnchor>
    <xdr:from>
      <xdr:col>2</xdr:col>
      <xdr:colOff>319521</xdr:colOff>
      <xdr:row>27</xdr:row>
      <xdr:rowOff>166254</xdr:rowOff>
    </xdr:from>
    <xdr:to>
      <xdr:col>2</xdr:col>
      <xdr:colOff>992621</xdr:colOff>
      <xdr:row>27</xdr:row>
      <xdr:rowOff>585354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821" y="15777729"/>
          <a:ext cx="673100" cy="419100"/>
        </a:xfrm>
        <a:prstGeom prst="rect">
          <a:avLst/>
        </a:prstGeom>
      </xdr:spPr>
    </xdr:pic>
    <xdr:clientData fLocksWithSheet="0"/>
  </xdr:twoCellAnchor>
  <xdr:twoCellAnchor>
    <xdr:from>
      <xdr:col>2</xdr:col>
      <xdr:colOff>321253</xdr:colOff>
      <xdr:row>28</xdr:row>
      <xdr:rowOff>99580</xdr:rowOff>
    </xdr:from>
    <xdr:to>
      <xdr:col>2</xdr:col>
      <xdr:colOff>994353</xdr:colOff>
      <xdr:row>28</xdr:row>
      <xdr:rowOff>518680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53" y="16492105"/>
          <a:ext cx="673100" cy="419100"/>
        </a:xfrm>
        <a:prstGeom prst="rect">
          <a:avLst/>
        </a:prstGeom>
      </xdr:spPr>
    </xdr:pic>
    <xdr:clientData fLocksWithSheet="0"/>
  </xdr:twoCellAnchor>
  <xdr:twoCellAnchor>
    <xdr:from>
      <xdr:col>2</xdr:col>
      <xdr:colOff>302203</xdr:colOff>
      <xdr:row>29</xdr:row>
      <xdr:rowOff>147205</xdr:rowOff>
    </xdr:from>
    <xdr:to>
      <xdr:col>2</xdr:col>
      <xdr:colOff>975303</xdr:colOff>
      <xdr:row>29</xdr:row>
      <xdr:rowOff>566305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503" y="17196955"/>
          <a:ext cx="673100" cy="419100"/>
        </a:xfrm>
        <a:prstGeom prst="rect">
          <a:avLst/>
        </a:prstGeom>
      </xdr:spPr>
    </xdr:pic>
    <xdr:clientData fLocksWithSheet="0"/>
  </xdr:twoCellAnchor>
  <xdr:twoCellAnchor>
    <xdr:from>
      <xdr:col>2</xdr:col>
      <xdr:colOff>321253</xdr:colOff>
      <xdr:row>30</xdr:row>
      <xdr:rowOff>204355</xdr:rowOff>
    </xdr:from>
    <xdr:to>
      <xdr:col>2</xdr:col>
      <xdr:colOff>994353</xdr:colOff>
      <xdr:row>30</xdr:row>
      <xdr:rowOff>623455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53" y="18092305"/>
          <a:ext cx="673100" cy="419100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B2:J15"/>
  <sheetViews>
    <sheetView showGridLines="0" showOutlineSymbols="0" showWhiteSpace="0" view="pageBreakPreview" zoomScale="85" zoomScaleNormal="85" zoomScaleSheetLayoutView="85" workbookViewId="0">
      <selection activeCell="H20" sqref="H20"/>
    </sheetView>
  </sheetViews>
  <sheetFormatPr defaultRowHeight="15" x14ac:dyDescent="0.2"/>
  <cols>
    <col min="1" max="1" width="9.33203125" style="74"/>
    <col min="2" max="2" width="8.83203125" style="74" customWidth="1"/>
    <col min="3" max="3" width="80" style="74" bestFit="1" customWidth="1"/>
    <col min="4" max="4" width="40" style="74" bestFit="1" customWidth="1"/>
    <col min="5" max="5" width="6.6640625" style="74" bestFit="1" customWidth="1"/>
    <col min="6" max="7" width="13.33203125" style="74" bestFit="1" customWidth="1"/>
    <col min="8" max="8" width="6.83203125" style="74" customWidth="1"/>
    <col min="9" max="9" width="18.1640625" style="74" customWidth="1"/>
    <col min="10" max="10" width="14.33203125" style="74" customWidth="1"/>
    <col min="11" max="16384" width="9.33203125" style="74"/>
  </cols>
  <sheetData>
    <row r="2" spans="2:10" x14ac:dyDescent="0.2">
      <c r="B2" s="83" t="s">
        <v>111</v>
      </c>
      <c r="D2" s="75" t="s">
        <v>112</v>
      </c>
      <c r="E2" s="567" t="s">
        <v>113</v>
      </c>
      <c r="F2" s="567"/>
      <c r="G2" s="567"/>
      <c r="H2" s="567" t="s">
        <v>114</v>
      </c>
      <c r="I2" s="567"/>
      <c r="J2" s="567"/>
    </row>
    <row r="3" spans="2:10" s="81" customFormat="1" x14ac:dyDescent="0.2">
      <c r="B3" s="571" t="s">
        <v>551</v>
      </c>
      <c r="C3" s="571"/>
      <c r="D3" s="71" t="str">
        <f>'RESUMO ND'!D3</f>
        <v>SINAPI - 12/2023 - MS</v>
      </c>
      <c r="E3" s="572" t="s">
        <v>1261</v>
      </c>
      <c r="F3" s="571"/>
      <c r="G3" s="571"/>
      <c r="H3" s="571" t="s">
        <v>1357</v>
      </c>
      <c r="I3" s="571"/>
      <c r="J3" s="571"/>
    </row>
    <row r="4" spans="2:10" x14ac:dyDescent="0.2">
      <c r="B4" s="573" t="s">
        <v>271</v>
      </c>
      <c r="C4" s="570"/>
      <c r="D4" s="570"/>
      <c r="E4" s="570"/>
      <c r="F4" s="570"/>
      <c r="G4" s="570"/>
      <c r="H4" s="570"/>
      <c r="I4" s="570"/>
      <c r="J4" s="570"/>
    </row>
    <row r="5" spans="2:10" ht="30" customHeight="1" x14ac:dyDescent="0.2">
      <c r="B5" s="82" t="s">
        <v>115</v>
      </c>
      <c r="C5" s="574" t="s">
        <v>118</v>
      </c>
      <c r="D5" s="574"/>
      <c r="E5" s="574"/>
      <c r="F5" s="574"/>
      <c r="G5" s="574"/>
      <c r="H5" s="574"/>
      <c r="I5" s="76" t="s">
        <v>0</v>
      </c>
      <c r="J5" s="76" t="s">
        <v>123</v>
      </c>
    </row>
    <row r="6" spans="2:10" ht="30" customHeight="1" x14ac:dyDescent="0.2">
      <c r="B6" s="145" t="s">
        <v>272</v>
      </c>
      <c r="C6" s="575" t="s">
        <v>1</v>
      </c>
      <c r="D6" s="576"/>
      <c r="E6" s="576"/>
      <c r="F6" s="576"/>
      <c r="G6" s="576"/>
      <c r="H6" s="577"/>
      <c r="I6" s="154">
        <v>43096.7</v>
      </c>
      <c r="J6" s="155">
        <v>8.2131476617845131E-3</v>
      </c>
    </row>
    <row r="7" spans="2:10" ht="30" customHeight="1" x14ac:dyDescent="0.2">
      <c r="B7" s="145" t="s">
        <v>313</v>
      </c>
      <c r="C7" s="575" t="s">
        <v>552</v>
      </c>
      <c r="D7" s="576"/>
      <c r="E7" s="576"/>
      <c r="F7" s="576"/>
      <c r="G7" s="576"/>
      <c r="H7" s="577"/>
      <c r="I7" s="154">
        <v>2301180.77</v>
      </c>
      <c r="J7" s="155">
        <v>0.43854720803377023</v>
      </c>
    </row>
    <row r="8" spans="2:10" ht="30" customHeight="1" x14ac:dyDescent="0.2">
      <c r="B8" s="145" t="s">
        <v>314</v>
      </c>
      <c r="C8" s="575" t="s">
        <v>553</v>
      </c>
      <c r="D8" s="576"/>
      <c r="E8" s="576"/>
      <c r="F8" s="576"/>
      <c r="G8" s="576"/>
      <c r="H8" s="577"/>
      <c r="I8" s="154">
        <v>2678303.7000000002</v>
      </c>
      <c r="J8" s="155">
        <v>0.51041735843356473</v>
      </c>
    </row>
    <row r="9" spans="2:10" ht="30" customHeight="1" x14ac:dyDescent="0.2">
      <c r="B9" s="145" t="s">
        <v>315</v>
      </c>
      <c r="C9" s="575" t="s">
        <v>554</v>
      </c>
      <c r="D9" s="576"/>
      <c r="E9" s="576"/>
      <c r="F9" s="576"/>
      <c r="G9" s="576"/>
      <c r="H9" s="577"/>
      <c r="I9" s="154">
        <v>224700.6</v>
      </c>
      <c r="J9" s="155">
        <v>4.2822285870880536E-2</v>
      </c>
    </row>
    <row r="10" spans="2:10" ht="24" customHeight="1" x14ac:dyDescent="0.2">
      <c r="B10" s="77"/>
      <c r="C10" s="77"/>
      <c r="D10" s="77"/>
      <c r="E10" s="77"/>
      <c r="F10" s="77"/>
      <c r="G10" s="77"/>
      <c r="H10" s="77"/>
      <c r="I10" s="77"/>
      <c r="J10" s="77"/>
    </row>
    <row r="11" spans="2:10" ht="20.100000000000001" customHeight="1" x14ac:dyDescent="0.2">
      <c r="B11" s="79"/>
      <c r="C11" s="78"/>
      <c r="D11" s="79"/>
      <c r="E11" s="79"/>
      <c r="F11" s="567" t="s">
        <v>124</v>
      </c>
      <c r="G11" s="567"/>
      <c r="H11" s="568">
        <v>4211746.2</v>
      </c>
      <c r="I11" s="568"/>
      <c r="J11" s="568"/>
    </row>
    <row r="12" spans="2:10" ht="20.100000000000001" customHeight="1" x14ac:dyDescent="0.2">
      <c r="B12" s="79"/>
      <c r="C12" s="78"/>
      <c r="D12" s="79"/>
      <c r="E12" s="79"/>
      <c r="F12" s="567" t="s">
        <v>125</v>
      </c>
      <c r="G12" s="567"/>
      <c r="H12" s="568">
        <v>1035535.57</v>
      </c>
      <c r="I12" s="568"/>
      <c r="J12" s="568"/>
    </row>
    <row r="13" spans="2:10" ht="20.100000000000001" customHeight="1" x14ac:dyDescent="0.2">
      <c r="B13" s="79"/>
      <c r="C13" s="78"/>
      <c r="D13" s="79"/>
      <c r="E13" s="79"/>
      <c r="F13" s="567" t="s">
        <v>126</v>
      </c>
      <c r="G13" s="567"/>
      <c r="H13" s="568">
        <v>5247281.7699999996</v>
      </c>
      <c r="I13" s="568"/>
      <c r="J13" s="568"/>
    </row>
    <row r="14" spans="2:10" x14ac:dyDescent="0.2">
      <c r="B14" s="80"/>
      <c r="C14" s="80"/>
      <c r="D14" s="80"/>
      <c r="E14" s="80"/>
      <c r="F14" s="80"/>
      <c r="G14" s="80"/>
      <c r="H14" s="80"/>
      <c r="I14" s="80"/>
      <c r="J14" s="80"/>
    </row>
    <row r="15" spans="2:10" ht="60" customHeight="1" x14ac:dyDescent="0.2">
      <c r="B15" s="569" t="s">
        <v>277</v>
      </c>
      <c r="C15" s="570"/>
      <c r="D15" s="570"/>
      <c r="E15" s="570"/>
      <c r="F15" s="570"/>
      <c r="G15" s="570"/>
      <c r="H15" s="570"/>
      <c r="I15" s="570"/>
      <c r="J15" s="570"/>
    </row>
  </sheetData>
  <mergeCells count="18">
    <mergeCell ref="F11:G11"/>
    <mergeCell ref="H11:J11"/>
    <mergeCell ref="E2:G2"/>
    <mergeCell ref="H2:J2"/>
    <mergeCell ref="B3:C3"/>
    <mergeCell ref="E3:G3"/>
    <mergeCell ref="H3:J3"/>
    <mergeCell ref="B4:J4"/>
    <mergeCell ref="C5:H5"/>
    <mergeCell ref="C6:H6"/>
    <mergeCell ref="C7:H7"/>
    <mergeCell ref="C8:H8"/>
    <mergeCell ref="C9:H9"/>
    <mergeCell ref="F12:G12"/>
    <mergeCell ref="H12:J12"/>
    <mergeCell ref="F13:G13"/>
    <mergeCell ref="H13:J13"/>
    <mergeCell ref="B15:J15"/>
  </mergeCells>
  <printOptions horizontalCentered="1"/>
  <pageMargins left="0.51181102362204722" right="0.51181102362204722" top="0.98425196850393704" bottom="0.98425196850393704" header="0.31496062992125984" footer="0.51181102362204722"/>
  <pageSetup paperSize="9" scale="74" fitToHeight="0" orientation="landscape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  <pageSetUpPr fitToPage="1"/>
  </sheetPr>
  <dimension ref="B2:U11"/>
  <sheetViews>
    <sheetView view="pageBreakPreview" zoomScale="60" zoomScaleNormal="100" workbookViewId="0">
      <selection activeCell="X33" sqref="X33"/>
    </sheetView>
  </sheetViews>
  <sheetFormatPr defaultColWidth="10.6640625" defaultRowHeight="15" x14ac:dyDescent="0.2"/>
  <cols>
    <col min="1" max="1" width="4" style="498" customWidth="1"/>
    <col min="2" max="2" width="51.5" style="498" customWidth="1"/>
    <col min="3" max="3" width="18.6640625" style="498" customWidth="1"/>
    <col min="4" max="4" width="22.6640625" style="498" customWidth="1"/>
    <col min="5" max="5" width="19" style="498" customWidth="1"/>
    <col min="6" max="6" width="18.6640625" style="498" customWidth="1"/>
    <col min="7" max="7" width="17" style="498" customWidth="1"/>
    <col min="8" max="8" width="17.33203125" style="498" customWidth="1"/>
    <col min="9" max="18" width="17.1640625" style="498" customWidth="1"/>
    <col min="19" max="19" width="25.6640625" style="498" hidden="1" customWidth="1"/>
    <col min="20" max="21" width="18.6640625" style="498" hidden="1" customWidth="1"/>
    <col min="22" max="22" width="17.6640625" style="498" customWidth="1"/>
    <col min="23" max="16384" width="10.6640625" style="498"/>
  </cols>
  <sheetData>
    <row r="2" spans="2:21" ht="15.75" thickBot="1" x14ac:dyDescent="0.25">
      <c r="B2" s="714" t="s">
        <v>1126</v>
      </c>
      <c r="C2" s="715"/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  <c r="R2" s="715"/>
      <c r="S2" s="715"/>
      <c r="T2" s="715"/>
      <c r="U2" s="716"/>
    </row>
    <row r="3" spans="2:21" ht="15.75" thickBot="1" x14ac:dyDescent="0.25">
      <c r="B3" s="717" t="s">
        <v>286</v>
      </c>
      <c r="C3" s="719" t="s">
        <v>1127</v>
      </c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1"/>
      <c r="S3" s="719" t="s">
        <v>1128</v>
      </c>
      <c r="T3" s="720"/>
      <c r="U3" s="721"/>
    </row>
    <row r="4" spans="2:21" ht="78" customHeight="1" x14ac:dyDescent="0.2">
      <c r="B4" s="718"/>
      <c r="C4" s="499" t="s">
        <v>1129</v>
      </c>
      <c r="D4" s="500" t="s">
        <v>1130</v>
      </c>
      <c r="E4" s="501" t="s">
        <v>1131</v>
      </c>
      <c r="F4" s="502" t="s">
        <v>1132</v>
      </c>
      <c r="G4" s="500" t="s">
        <v>1133</v>
      </c>
      <c r="H4" s="501" t="s">
        <v>1134</v>
      </c>
      <c r="I4" s="501" t="s">
        <v>1135</v>
      </c>
      <c r="J4" s="503" t="s">
        <v>1136</v>
      </c>
      <c r="K4" s="502" t="s">
        <v>1137</v>
      </c>
      <c r="L4" s="504" t="s">
        <v>1138</v>
      </c>
      <c r="M4" s="503" t="s">
        <v>1139</v>
      </c>
      <c r="N4" s="502" t="s">
        <v>1139</v>
      </c>
      <c r="O4" s="505" t="s">
        <v>1140</v>
      </c>
      <c r="P4" s="501" t="s">
        <v>1141</v>
      </c>
      <c r="Q4" s="506" t="s">
        <v>1149</v>
      </c>
      <c r="R4" s="502" t="s">
        <v>1150</v>
      </c>
      <c r="S4" s="507" t="s">
        <v>1142</v>
      </c>
      <c r="T4" s="507" t="s">
        <v>1143</v>
      </c>
      <c r="U4" s="507" t="s">
        <v>1144</v>
      </c>
    </row>
    <row r="5" spans="2:21" s="520" customFormat="1" ht="24" customHeight="1" x14ac:dyDescent="0.2">
      <c r="B5" s="508" t="s">
        <v>1112</v>
      </c>
      <c r="C5" s="509">
        <v>57.79</v>
      </c>
      <c r="D5" s="510">
        <v>0</v>
      </c>
      <c r="E5" s="511">
        <f>TRUNC(D5*1.3,2)</f>
        <v>0</v>
      </c>
      <c r="F5" s="512">
        <f>TRUNC(E5*$C$8,2)</f>
        <v>0</v>
      </c>
      <c r="G5" s="513">
        <f>C5</f>
        <v>57.79</v>
      </c>
      <c r="H5" s="514">
        <f>TRUNC(C5*0.3,2)</f>
        <v>17.329999999999998</v>
      </c>
      <c r="I5" s="514">
        <f>TRUNC(C5*0.15,2)</f>
        <v>8.66</v>
      </c>
      <c r="J5" s="515">
        <f>TRUNC(((H5*1.1)+(I5*1.3))*30,2)</f>
        <v>909.63</v>
      </c>
      <c r="K5" s="516">
        <v>0</v>
      </c>
      <c r="L5" s="517">
        <f>C5</f>
        <v>57.79</v>
      </c>
      <c r="M5" s="515">
        <f>TRUNC((L5*0.0012)*30,2)</f>
        <v>2.08</v>
      </c>
      <c r="N5" s="516">
        <f>TRUNC((L5*0.0012)*($C$10-30),2)</f>
        <v>12.48</v>
      </c>
      <c r="O5" s="518">
        <f>TRUNC(C5*0.03,2)</f>
        <v>1.73</v>
      </c>
      <c r="P5" s="514">
        <f>TRUNC(O5*2.5548,2)</f>
        <v>4.41</v>
      </c>
      <c r="Q5" s="515">
        <f>TRUNC(P5*30,2)</f>
        <v>132.30000000000001</v>
      </c>
      <c r="R5" s="516">
        <f>TRUNC(P5*($C$11-30),2)</f>
        <v>81.14</v>
      </c>
      <c r="S5" s="519">
        <v>0</v>
      </c>
      <c r="T5" s="519">
        <f>TRUNC((S5*0.0615*0.5792)*30,2)</f>
        <v>0</v>
      </c>
      <c r="U5" s="519">
        <f>TRUNC((S5*0.0615*0.5792)*($C$9-30),2)</f>
        <v>0</v>
      </c>
    </row>
    <row r="6" spans="2:21" ht="15.75" thickBot="1" x14ac:dyDescent="0.25">
      <c r="B6" s="521" t="s">
        <v>1145</v>
      </c>
      <c r="C6" s="522">
        <f t="shared" ref="C6:U6" si="0">SUM(C5:C5)</f>
        <v>57.79</v>
      </c>
      <c r="D6" s="523">
        <f t="shared" si="0"/>
        <v>0</v>
      </c>
      <c r="E6" s="524">
        <f t="shared" si="0"/>
        <v>0</v>
      </c>
      <c r="F6" s="525">
        <f t="shared" si="0"/>
        <v>0</v>
      </c>
      <c r="G6" s="523">
        <f t="shared" si="0"/>
        <v>57.79</v>
      </c>
      <c r="H6" s="524">
        <f t="shared" si="0"/>
        <v>17.329999999999998</v>
      </c>
      <c r="I6" s="524">
        <f t="shared" si="0"/>
        <v>8.66</v>
      </c>
      <c r="J6" s="526">
        <f t="shared" si="0"/>
        <v>909.63</v>
      </c>
      <c r="K6" s="525">
        <f t="shared" si="0"/>
        <v>0</v>
      </c>
      <c r="L6" s="527">
        <f t="shared" si="0"/>
        <v>57.79</v>
      </c>
      <c r="M6" s="526">
        <f t="shared" si="0"/>
        <v>2.08</v>
      </c>
      <c r="N6" s="525">
        <f t="shared" si="0"/>
        <v>12.48</v>
      </c>
      <c r="O6" s="528">
        <f t="shared" si="0"/>
        <v>1.73</v>
      </c>
      <c r="P6" s="524">
        <f t="shared" si="0"/>
        <v>4.41</v>
      </c>
      <c r="Q6" s="526">
        <f t="shared" si="0"/>
        <v>132.30000000000001</v>
      </c>
      <c r="R6" s="525">
        <f t="shared" si="0"/>
        <v>81.14</v>
      </c>
      <c r="S6" s="529">
        <f t="shared" si="0"/>
        <v>0</v>
      </c>
      <c r="T6" s="529">
        <f t="shared" si="0"/>
        <v>0</v>
      </c>
      <c r="U6" s="529">
        <f t="shared" si="0"/>
        <v>0</v>
      </c>
    </row>
    <row r="7" spans="2:21" ht="20.100000000000001" customHeight="1" x14ac:dyDescent="0.2"/>
    <row r="8" spans="2:21" ht="18" customHeight="1" x14ac:dyDescent="0.2">
      <c r="B8" s="530" t="s">
        <v>310</v>
      </c>
      <c r="C8" s="531">
        <f>DMT!F12</f>
        <v>12.2</v>
      </c>
      <c r="D8" s="532" t="s">
        <v>81</v>
      </c>
      <c r="S8" s="533"/>
      <c r="T8" s="533"/>
      <c r="U8" s="533"/>
    </row>
    <row r="9" spans="2:21" ht="18" customHeight="1" x14ac:dyDescent="0.2">
      <c r="B9" s="530" t="s">
        <v>1146</v>
      </c>
      <c r="C9" s="531">
        <f>DMT!F9</f>
        <v>12.2</v>
      </c>
      <c r="D9" s="532" t="s">
        <v>81</v>
      </c>
    </row>
    <row r="10" spans="2:21" ht="18" customHeight="1" x14ac:dyDescent="0.2">
      <c r="B10" s="530" t="s">
        <v>1147</v>
      </c>
      <c r="C10" s="531">
        <f>DMT!F8</f>
        <v>210</v>
      </c>
      <c r="D10" s="532" t="s">
        <v>81</v>
      </c>
    </row>
    <row r="11" spans="2:21" ht="18" customHeight="1" x14ac:dyDescent="0.2">
      <c r="B11" s="530" t="s">
        <v>1148</v>
      </c>
      <c r="C11" s="531">
        <f>DMT!F6</f>
        <v>48.4</v>
      </c>
      <c r="D11" s="532" t="s">
        <v>81</v>
      </c>
    </row>
  </sheetData>
  <mergeCells count="4">
    <mergeCell ref="B2:U2"/>
    <mergeCell ref="B3:B4"/>
    <mergeCell ref="C3:R3"/>
    <mergeCell ref="S3:U3"/>
  </mergeCells>
  <printOptions horizontalCentered="1"/>
  <pageMargins left="0.51181102362204722" right="0.51181102362204722" top="1.1811023622047245" bottom="0.78740157480314965" header="0.31496062992125984" footer="0.31496062992125984"/>
  <pageSetup paperSize="9" scale="43" fitToHeight="0" orientation="landscape" r:id="rId1"/>
  <headerFooter>
    <oddHeader>&amp;L&amp;G&amp;R&amp;G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B2:U41"/>
  <sheetViews>
    <sheetView showGridLines="0" view="pageBreakPreview" topLeftCell="A9" zoomScale="85" zoomScaleNormal="85" zoomScaleSheetLayoutView="85" workbookViewId="0">
      <selection activeCell="X35" sqref="X35"/>
    </sheetView>
  </sheetViews>
  <sheetFormatPr defaultRowHeight="12.75" x14ac:dyDescent="0.2"/>
  <cols>
    <col min="1" max="1" width="9.33203125" style="113"/>
    <col min="2" max="2" width="30.33203125" style="116" customWidth="1"/>
    <col min="3" max="3" width="20.83203125" style="117" customWidth="1"/>
    <col min="4" max="4" width="9.33203125" style="118"/>
    <col min="5" max="5" width="20.83203125" style="117" customWidth="1"/>
    <col min="6" max="6" width="8.83203125" style="113" customWidth="1"/>
    <col min="7" max="7" width="21" style="116" customWidth="1"/>
    <col min="8" max="8" width="14.1640625" style="113" customWidth="1"/>
    <col min="9" max="9" width="12.83203125" style="113" customWidth="1"/>
    <col min="10" max="10" width="14" style="113" customWidth="1"/>
    <col min="11" max="11" width="13.83203125" style="113" customWidth="1"/>
    <col min="12" max="12" width="13.5" style="133" customWidth="1"/>
    <col min="13" max="16" width="9.33203125" style="113"/>
    <col min="17" max="17" width="14" style="113" customWidth="1"/>
    <col min="18" max="18" width="18.6640625" style="113" customWidth="1"/>
    <col min="19" max="19" width="21.33203125" style="113" customWidth="1"/>
    <col min="20" max="20" width="17" style="113" customWidth="1"/>
    <col min="21" max="21" width="14.6640625" style="113" customWidth="1"/>
    <col min="22" max="16384" width="9.33203125" style="113"/>
  </cols>
  <sheetData>
    <row r="2" spans="2:21" ht="26.25" customHeight="1" thickBot="1" x14ac:dyDescent="0.25">
      <c r="B2" s="756" t="s">
        <v>1080</v>
      </c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8"/>
    </row>
    <row r="3" spans="2:21" ht="15" x14ac:dyDescent="0.2">
      <c r="B3" s="759" t="s">
        <v>10</v>
      </c>
      <c r="C3" s="761" t="s">
        <v>64</v>
      </c>
      <c r="D3" s="761"/>
      <c r="E3" s="761"/>
      <c r="F3" s="763" t="s">
        <v>65</v>
      </c>
      <c r="G3" s="761" t="s">
        <v>66</v>
      </c>
      <c r="H3" s="761" t="s">
        <v>290</v>
      </c>
      <c r="I3" s="761" t="s">
        <v>291</v>
      </c>
      <c r="J3" s="763" t="s">
        <v>103</v>
      </c>
      <c r="K3" s="763"/>
      <c r="L3" s="763"/>
      <c r="M3" s="763" t="s">
        <v>67</v>
      </c>
      <c r="N3" s="763"/>
      <c r="O3" s="763"/>
      <c r="P3" s="763"/>
      <c r="Q3" s="761" t="s">
        <v>292</v>
      </c>
      <c r="R3" s="761" t="s">
        <v>293</v>
      </c>
      <c r="S3" s="761" t="s">
        <v>294</v>
      </c>
      <c r="T3" s="761" t="s">
        <v>295</v>
      </c>
      <c r="U3" s="765" t="s">
        <v>296</v>
      </c>
    </row>
    <row r="4" spans="2:21" ht="60.75" thickBot="1" x14ac:dyDescent="0.25">
      <c r="B4" s="760"/>
      <c r="C4" s="762"/>
      <c r="D4" s="762"/>
      <c r="E4" s="762"/>
      <c r="F4" s="764"/>
      <c r="G4" s="762"/>
      <c r="H4" s="762"/>
      <c r="I4" s="762"/>
      <c r="J4" s="472" t="s">
        <v>104</v>
      </c>
      <c r="K4" s="472" t="s">
        <v>297</v>
      </c>
      <c r="L4" s="472" t="s">
        <v>69</v>
      </c>
      <c r="M4" s="472" t="s">
        <v>70</v>
      </c>
      <c r="N4" s="472" t="s">
        <v>105</v>
      </c>
      <c r="O4" s="472" t="s">
        <v>68</v>
      </c>
      <c r="P4" s="472" t="s">
        <v>69</v>
      </c>
      <c r="Q4" s="762"/>
      <c r="R4" s="762"/>
      <c r="S4" s="762"/>
      <c r="T4" s="762"/>
      <c r="U4" s="766"/>
    </row>
    <row r="5" spans="2:21" ht="15" x14ac:dyDescent="0.2">
      <c r="B5" s="724" t="s">
        <v>427</v>
      </c>
      <c r="C5" s="748" t="s">
        <v>95</v>
      </c>
      <c r="D5" s="748" t="s">
        <v>269</v>
      </c>
      <c r="E5" s="748" t="s">
        <v>429</v>
      </c>
      <c r="F5" s="749" t="s">
        <v>71</v>
      </c>
      <c r="G5" s="750">
        <v>0</v>
      </c>
      <c r="H5" s="755">
        <v>1.2</v>
      </c>
      <c r="I5" s="755">
        <v>0</v>
      </c>
      <c r="J5" s="750">
        <f>8.25+8.35</f>
        <v>16.600000000000001</v>
      </c>
      <c r="K5" s="752">
        <f>I5*G5</f>
        <v>0</v>
      </c>
      <c r="L5" s="754">
        <v>0</v>
      </c>
      <c r="M5" s="473">
        <v>2</v>
      </c>
      <c r="N5" s="473">
        <v>1</v>
      </c>
      <c r="O5" s="474">
        <f>((0.2+1.8+1.5+1.8+0.2)*1.2)</f>
        <v>6.6</v>
      </c>
      <c r="P5" s="474">
        <f>1.2+1.5+1.2</f>
        <v>3.9000000000000004</v>
      </c>
      <c r="Q5" s="752">
        <f>((O5*M5)+(O6*M6)+(G5*(H5+I5))+J5)</f>
        <v>29.8</v>
      </c>
      <c r="R5" s="752">
        <f>I5+K5</f>
        <v>0</v>
      </c>
      <c r="S5" s="752">
        <f>L5+M5*P5+M6*P6</f>
        <v>7.8000000000000007</v>
      </c>
      <c r="T5" s="752">
        <f>0.2*S5</f>
        <v>1.5600000000000003</v>
      </c>
      <c r="U5" s="753">
        <f>(Q5-R5-T5)</f>
        <v>28.240000000000002</v>
      </c>
    </row>
    <row r="6" spans="2:21" ht="15" x14ac:dyDescent="0.2">
      <c r="B6" s="725"/>
      <c r="C6" s="722"/>
      <c r="D6" s="722"/>
      <c r="E6" s="722"/>
      <c r="F6" s="727"/>
      <c r="G6" s="728"/>
      <c r="H6" s="729"/>
      <c r="I6" s="729"/>
      <c r="J6" s="728"/>
      <c r="K6" s="730"/>
      <c r="L6" s="731"/>
      <c r="M6" s="448">
        <v>0</v>
      </c>
      <c r="N6" s="448">
        <v>2</v>
      </c>
      <c r="O6" s="449">
        <v>0</v>
      </c>
      <c r="P6" s="449">
        <v>0</v>
      </c>
      <c r="Q6" s="730"/>
      <c r="R6" s="730"/>
      <c r="S6" s="730"/>
      <c r="T6" s="730"/>
      <c r="U6" s="738"/>
    </row>
    <row r="7" spans="2:21" ht="15" x14ac:dyDescent="0.2">
      <c r="B7" s="725"/>
      <c r="C7" s="722"/>
      <c r="D7" s="722"/>
      <c r="E7" s="722"/>
      <c r="F7" s="727" t="s">
        <v>268</v>
      </c>
      <c r="G7" s="728">
        <v>0</v>
      </c>
      <c r="H7" s="729">
        <v>1.2</v>
      </c>
      <c r="I7" s="729">
        <v>0</v>
      </c>
      <c r="J7" s="728">
        <f>8.12+8.7</f>
        <v>16.82</v>
      </c>
      <c r="K7" s="730">
        <f t="shared" ref="K7" si="0">I7*G7</f>
        <v>0</v>
      </c>
      <c r="L7" s="731">
        <v>0</v>
      </c>
      <c r="M7" s="448">
        <v>2</v>
      </c>
      <c r="N7" s="448">
        <v>1</v>
      </c>
      <c r="O7" s="449">
        <f>((0.2+1.8+1.5+1.8+0.2)*1.2)</f>
        <v>6.6</v>
      </c>
      <c r="P7" s="449">
        <f>1.2+1.5+1.2</f>
        <v>3.9000000000000004</v>
      </c>
      <c r="Q7" s="730">
        <f t="shared" ref="Q7" si="1">((O7*M7)+(O8*M8)+(G7*(H7+I7))+J7)</f>
        <v>30.02</v>
      </c>
      <c r="R7" s="730">
        <f t="shared" ref="R7" si="2">I7+K7</f>
        <v>0</v>
      </c>
      <c r="S7" s="730">
        <f t="shared" ref="S7" si="3">L7+M7*P7+M8*P8</f>
        <v>7.8000000000000007</v>
      </c>
      <c r="T7" s="730">
        <f t="shared" ref="T7" si="4">0.2*S7</f>
        <v>1.5600000000000003</v>
      </c>
      <c r="U7" s="738">
        <f t="shared" ref="U7" si="5">(Q7-R7-T7)</f>
        <v>28.46</v>
      </c>
    </row>
    <row r="8" spans="2:21" ht="15" x14ac:dyDescent="0.2">
      <c r="B8" s="725"/>
      <c r="C8" s="747"/>
      <c r="D8" s="747"/>
      <c r="E8" s="747"/>
      <c r="F8" s="751"/>
      <c r="G8" s="745"/>
      <c r="H8" s="729"/>
      <c r="I8" s="744"/>
      <c r="J8" s="745"/>
      <c r="K8" s="737"/>
      <c r="L8" s="746"/>
      <c r="M8" s="450">
        <v>0</v>
      </c>
      <c r="N8" s="450">
        <v>2</v>
      </c>
      <c r="O8" s="451">
        <v>0</v>
      </c>
      <c r="P8" s="451">
        <v>0</v>
      </c>
      <c r="Q8" s="737"/>
      <c r="R8" s="737"/>
      <c r="S8" s="737"/>
      <c r="T8" s="737"/>
      <c r="U8" s="739"/>
    </row>
    <row r="9" spans="2:21" ht="15" x14ac:dyDescent="0.2">
      <c r="B9" s="725"/>
      <c r="C9" s="722" t="s">
        <v>429</v>
      </c>
      <c r="D9" s="722" t="s">
        <v>269</v>
      </c>
      <c r="E9" s="722" t="s">
        <v>95</v>
      </c>
      <c r="F9" s="727" t="s">
        <v>71</v>
      </c>
      <c r="G9" s="728">
        <v>0</v>
      </c>
      <c r="H9" s="729">
        <v>1.2</v>
      </c>
      <c r="I9" s="729">
        <v>0</v>
      </c>
      <c r="J9" s="728">
        <v>8.69</v>
      </c>
      <c r="K9" s="730">
        <f>I9*G9</f>
        <v>0</v>
      </c>
      <c r="L9" s="731">
        <v>0</v>
      </c>
      <c r="M9" s="448">
        <v>1</v>
      </c>
      <c r="N9" s="448">
        <v>1</v>
      </c>
      <c r="O9" s="449">
        <f>((0.2+1.8+1.5+1.8+0.2)*1.2)</f>
        <v>6.6</v>
      </c>
      <c r="P9" s="449">
        <f>1.2+1.5+1.2</f>
        <v>3.9000000000000004</v>
      </c>
      <c r="Q9" s="730">
        <f>((O9*M9)+(O10*M10)+(G9*(H9+I9))+J9)</f>
        <v>15.29</v>
      </c>
      <c r="R9" s="730">
        <f>I9+K9</f>
        <v>0</v>
      </c>
      <c r="S9" s="730">
        <f>L9+M9*P9+M10*P10</f>
        <v>3.9000000000000004</v>
      </c>
      <c r="T9" s="730">
        <f>0.2*S9</f>
        <v>0.78000000000000014</v>
      </c>
      <c r="U9" s="738">
        <f>(Q9-R9-T9)</f>
        <v>14.51</v>
      </c>
    </row>
    <row r="10" spans="2:21" ht="15" x14ac:dyDescent="0.2">
      <c r="B10" s="725"/>
      <c r="C10" s="722"/>
      <c r="D10" s="722"/>
      <c r="E10" s="722"/>
      <c r="F10" s="727"/>
      <c r="G10" s="728"/>
      <c r="H10" s="729"/>
      <c r="I10" s="729"/>
      <c r="J10" s="728"/>
      <c r="K10" s="730"/>
      <c r="L10" s="731"/>
      <c r="M10" s="448">
        <v>0</v>
      </c>
      <c r="N10" s="448">
        <v>2</v>
      </c>
      <c r="O10" s="449">
        <v>0</v>
      </c>
      <c r="P10" s="449">
        <v>0</v>
      </c>
      <c r="Q10" s="730"/>
      <c r="R10" s="730"/>
      <c r="S10" s="730"/>
      <c r="T10" s="730"/>
      <c r="U10" s="738"/>
    </row>
    <row r="11" spans="2:21" ht="15" x14ac:dyDescent="0.2">
      <c r="B11" s="725"/>
      <c r="C11" s="722"/>
      <c r="D11" s="722"/>
      <c r="E11" s="722"/>
      <c r="F11" s="727" t="s">
        <v>268</v>
      </c>
      <c r="G11" s="728">
        <v>0</v>
      </c>
      <c r="H11" s="729">
        <v>1.2</v>
      </c>
      <c r="I11" s="729">
        <v>0</v>
      </c>
      <c r="J11" s="728">
        <v>8.33</v>
      </c>
      <c r="K11" s="730">
        <f t="shared" ref="K11" si="6">I11*G11</f>
        <v>0</v>
      </c>
      <c r="L11" s="731">
        <v>0</v>
      </c>
      <c r="M11" s="448">
        <v>1</v>
      </c>
      <c r="N11" s="448">
        <v>1</v>
      </c>
      <c r="O11" s="449">
        <f>((0.2+1.8+1.5+1.8+0.2)*1.2)</f>
        <v>6.6</v>
      </c>
      <c r="P11" s="449">
        <f>1.2+1.5+1.2</f>
        <v>3.9000000000000004</v>
      </c>
      <c r="Q11" s="730">
        <f t="shared" ref="Q11" si="7">((O11*M11)+(O12*M12)+(G11*(H11+I11))+J11)</f>
        <v>14.93</v>
      </c>
      <c r="R11" s="730">
        <f t="shared" ref="R11" si="8">I11+K11</f>
        <v>0</v>
      </c>
      <c r="S11" s="730">
        <f t="shared" ref="S11" si="9">L11+M11*P11+M12*P12</f>
        <v>3.9000000000000004</v>
      </c>
      <c r="T11" s="730">
        <f t="shared" ref="T11" si="10">0.2*S11</f>
        <v>0.78000000000000014</v>
      </c>
      <c r="U11" s="738">
        <f t="shared" ref="U11" si="11">(Q11-R11-T11)</f>
        <v>14.15</v>
      </c>
    </row>
    <row r="12" spans="2:21" ht="15.75" thickBot="1" x14ac:dyDescent="0.25">
      <c r="B12" s="726"/>
      <c r="C12" s="723"/>
      <c r="D12" s="723"/>
      <c r="E12" s="723"/>
      <c r="F12" s="732"/>
      <c r="G12" s="733"/>
      <c r="H12" s="734"/>
      <c r="I12" s="734"/>
      <c r="J12" s="733"/>
      <c r="K12" s="735"/>
      <c r="L12" s="736"/>
      <c r="M12" s="475">
        <v>0</v>
      </c>
      <c r="N12" s="475">
        <v>2</v>
      </c>
      <c r="O12" s="476">
        <v>0</v>
      </c>
      <c r="P12" s="476">
        <v>0</v>
      </c>
      <c r="Q12" s="735"/>
      <c r="R12" s="735"/>
      <c r="S12" s="735"/>
      <c r="T12" s="735"/>
      <c r="U12" s="743"/>
    </row>
    <row r="13" spans="2:21" ht="15" x14ac:dyDescent="0.2">
      <c r="B13" s="724" t="s">
        <v>428</v>
      </c>
      <c r="C13" s="748" t="s">
        <v>95</v>
      </c>
      <c r="D13" s="748" t="s">
        <v>269</v>
      </c>
      <c r="E13" s="748" t="s">
        <v>429</v>
      </c>
      <c r="F13" s="749" t="s">
        <v>71</v>
      </c>
      <c r="G13" s="750">
        <v>0</v>
      </c>
      <c r="H13" s="755">
        <v>1.2</v>
      </c>
      <c r="I13" s="755">
        <v>0</v>
      </c>
      <c r="J13" s="750">
        <f>8.25+34.78</f>
        <v>43.03</v>
      </c>
      <c r="K13" s="752">
        <f>I13*G13</f>
        <v>0</v>
      </c>
      <c r="L13" s="754">
        <v>0</v>
      </c>
      <c r="M13" s="473">
        <v>2</v>
      </c>
      <c r="N13" s="473">
        <v>1</v>
      </c>
      <c r="O13" s="474">
        <f>((0.2+1.8+1.5+1.8+0.2)*1.2)</f>
        <v>6.6</v>
      </c>
      <c r="P13" s="474">
        <f>1.2+1.5+1.2</f>
        <v>3.9000000000000004</v>
      </c>
      <c r="Q13" s="752">
        <f>((O13*M13)+(O14*M14)+(G13*(H13+I13))+J13)</f>
        <v>56.230000000000004</v>
      </c>
      <c r="R13" s="752">
        <f>I13+K13</f>
        <v>0</v>
      </c>
      <c r="S13" s="752">
        <f>L13+M13*P13+M14*P14</f>
        <v>7.8000000000000007</v>
      </c>
      <c r="T13" s="752">
        <f>0.2*S13</f>
        <v>1.5600000000000003</v>
      </c>
      <c r="U13" s="753">
        <f>(Q13-R13-T13)</f>
        <v>54.67</v>
      </c>
    </row>
    <row r="14" spans="2:21" ht="15" x14ac:dyDescent="0.2">
      <c r="B14" s="725"/>
      <c r="C14" s="722"/>
      <c r="D14" s="722"/>
      <c r="E14" s="722"/>
      <c r="F14" s="727"/>
      <c r="G14" s="728"/>
      <c r="H14" s="729"/>
      <c r="I14" s="729"/>
      <c r="J14" s="728"/>
      <c r="K14" s="730"/>
      <c r="L14" s="731"/>
      <c r="M14" s="448">
        <v>0</v>
      </c>
      <c r="N14" s="448">
        <v>2</v>
      </c>
      <c r="O14" s="449">
        <v>0</v>
      </c>
      <c r="P14" s="449">
        <v>0</v>
      </c>
      <c r="Q14" s="730"/>
      <c r="R14" s="730"/>
      <c r="S14" s="730"/>
      <c r="T14" s="730"/>
      <c r="U14" s="738"/>
    </row>
    <row r="15" spans="2:21" ht="15" x14ac:dyDescent="0.2">
      <c r="B15" s="725"/>
      <c r="C15" s="722"/>
      <c r="D15" s="722"/>
      <c r="E15" s="722"/>
      <c r="F15" s="727" t="s">
        <v>268</v>
      </c>
      <c r="G15" s="728">
        <v>0</v>
      </c>
      <c r="H15" s="729">
        <v>1.2</v>
      </c>
      <c r="I15" s="729">
        <v>0</v>
      </c>
      <c r="J15" s="728">
        <f>8.72+7.16</f>
        <v>15.88</v>
      </c>
      <c r="K15" s="730">
        <f t="shared" ref="K15" si="12">I15*G15</f>
        <v>0</v>
      </c>
      <c r="L15" s="731">
        <v>0</v>
      </c>
      <c r="M15" s="448">
        <v>2</v>
      </c>
      <c r="N15" s="448">
        <v>1</v>
      </c>
      <c r="O15" s="449">
        <f>((0.2+1.8+1.5+1.8+0.2)*1.2)</f>
        <v>6.6</v>
      </c>
      <c r="P15" s="449">
        <f>1.2+1.5+1.2</f>
        <v>3.9000000000000004</v>
      </c>
      <c r="Q15" s="730">
        <f t="shared" ref="Q15" si="13">((O15*M15)+(O16*M16)+(G15*(H15+I15))+J15)</f>
        <v>29.08</v>
      </c>
      <c r="R15" s="730">
        <f t="shared" ref="R15" si="14">I15+K15</f>
        <v>0</v>
      </c>
      <c r="S15" s="730">
        <f t="shared" ref="S15" si="15">L15+M15*P15+M16*P16</f>
        <v>7.8000000000000007</v>
      </c>
      <c r="T15" s="730">
        <f t="shared" ref="T15" si="16">0.2*S15</f>
        <v>1.5600000000000003</v>
      </c>
      <c r="U15" s="738">
        <f t="shared" ref="U15" si="17">(Q15-R15-T15)</f>
        <v>27.52</v>
      </c>
    </row>
    <row r="16" spans="2:21" ht="15" x14ac:dyDescent="0.2">
      <c r="B16" s="725"/>
      <c r="C16" s="747"/>
      <c r="D16" s="747"/>
      <c r="E16" s="747"/>
      <c r="F16" s="751"/>
      <c r="G16" s="745"/>
      <c r="H16" s="729"/>
      <c r="I16" s="744"/>
      <c r="J16" s="745"/>
      <c r="K16" s="737"/>
      <c r="L16" s="746"/>
      <c r="M16" s="450">
        <v>0</v>
      </c>
      <c r="N16" s="450">
        <v>2</v>
      </c>
      <c r="O16" s="451">
        <v>0</v>
      </c>
      <c r="P16" s="451">
        <v>0</v>
      </c>
      <c r="Q16" s="737"/>
      <c r="R16" s="737"/>
      <c r="S16" s="737"/>
      <c r="T16" s="737"/>
      <c r="U16" s="739"/>
    </row>
    <row r="17" spans="2:21" ht="15" x14ac:dyDescent="0.2">
      <c r="B17" s="725"/>
      <c r="C17" s="722" t="s">
        <v>429</v>
      </c>
      <c r="D17" s="722" t="s">
        <v>269</v>
      </c>
      <c r="E17" s="722" t="s">
        <v>95</v>
      </c>
      <c r="F17" s="727" t="s">
        <v>71</v>
      </c>
      <c r="G17" s="728">
        <v>0</v>
      </c>
      <c r="H17" s="729">
        <v>1.2</v>
      </c>
      <c r="I17" s="729">
        <v>0</v>
      </c>
      <c r="J17" s="728">
        <v>19.850000000000001</v>
      </c>
      <c r="K17" s="730">
        <f>I17*G17</f>
        <v>0</v>
      </c>
      <c r="L17" s="731">
        <v>0</v>
      </c>
      <c r="M17" s="448">
        <v>1</v>
      </c>
      <c r="N17" s="448">
        <v>1</v>
      </c>
      <c r="O17" s="449">
        <f>((0.2+1.8+1.5+1.8+0.2)*1.2)</f>
        <v>6.6</v>
      </c>
      <c r="P17" s="449">
        <f>1.2+1.5+1.2</f>
        <v>3.9000000000000004</v>
      </c>
      <c r="Q17" s="730">
        <f>((O17*M17)+(O18*M18)+(G17*(H17+I17))+J17)</f>
        <v>26.450000000000003</v>
      </c>
      <c r="R17" s="730">
        <f>I17+K17</f>
        <v>0</v>
      </c>
      <c r="S17" s="730">
        <f>L17+M17*P17+M18*P18</f>
        <v>3.9000000000000004</v>
      </c>
      <c r="T17" s="730">
        <f>0.2*S17</f>
        <v>0.78000000000000014</v>
      </c>
      <c r="U17" s="738">
        <f>(Q17-R17-T17)</f>
        <v>25.67</v>
      </c>
    </row>
    <row r="18" spans="2:21" ht="15" x14ac:dyDescent="0.2">
      <c r="B18" s="725"/>
      <c r="C18" s="722"/>
      <c r="D18" s="722"/>
      <c r="E18" s="722"/>
      <c r="F18" s="727"/>
      <c r="G18" s="728"/>
      <c r="H18" s="729"/>
      <c r="I18" s="729"/>
      <c r="J18" s="728"/>
      <c r="K18" s="730"/>
      <c r="L18" s="731"/>
      <c r="M18" s="448">
        <v>0</v>
      </c>
      <c r="N18" s="448">
        <v>2</v>
      </c>
      <c r="O18" s="449">
        <v>0</v>
      </c>
      <c r="P18" s="449">
        <v>0</v>
      </c>
      <c r="Q18" s="730"/>
      <c r="R18" s="730"/>
      <c r="S18" s="730"/>
      <c r="T18" s="730"/>
      <c r="U18" s="738"/>
    </row>
    <row r="19" spans="2:21" ht="15" x14ac:dyDescent="0.2">
      <c r="B19" s="725"/>
      <c r="C19" s="722"/>
      <c r="D19" s="722"/>
      <c r="E19" s="722"/>
      <c r="F19" s="727" t="s">
        <v>268</v>
      </c>
      <c r="G19" s="728">
        <v>0</v>
      </c>
      <c r="H19" s="729">
        <v>1.2</v>
      </c>
      <c r="I19" s="729">
        <v>0</v>
      </c>
      <c r="J19" s="728">
        <v>7.17</v>
      </c>
      <c r="K19" s="730">
        <f t="shared" ref="K19" si="18">I19*G19</f>
        <v>0</v>
      </c>
      <c r="L19" s="731">
        <v>0</v>
      </c>
      <c r="M19" s="448">
        <v>1</v>
      </c>
      <c r="N19" s="448">
        <v>1</v>
      </c>
      <c r="O19" s="449">
        <f>((0.2+1.8+1.5+1.8+0.2)*1.2)</f>
        <v>6.6</v>
      </c>
      <c r="P19" s="449">
        <f>1.2+1.5+1.2</f>
        <v>3.9000000000000004</v>
      </c>
      <c r="Q19" s="730">
        <f t="shared" ref="Q19" si="19">((O19*M19)+(O20*M20)+(G19*(H19+I19))+J19)</f>
        <v>13.77</v>
      </c>
      <c r="R19" s="730">
        <f t="shared" ref="R19" si="20">I19+K19</f>
        <v>0</v>
      </c>
      <c r="S19" s="730">
        <f t="shared" ref="S19" si="21">L19+M19*P19+M20*P20</f>
        <v>3.9000000000000004</v>
      </c>
      <c r="T19" s="730">
        <f t="shared" ref="T19" si="22">0.2*S19</f>
        <v>0.78000000000000014</v>
      </c>
      <c r="U19" s="738">
        <f t="shared" ref="U19" si="23">(Q19-R19-T19)</f>
        <v>12.99</v>
      </c>
    </row>
    <row r="20" spans="2:21" ht="15.75" thickBot="1" x14ac:dyDescent="0.25">
      <c r="B20" s="726"/>
      <c r="C20" s="723"/>
      <c r="D20" s="723"/>
      <c r="E20" s="723"/>
      <c r="F20" s="732"/>
      <c r="G20" s="733"/>
      <c r="H20" s="734"/>
      <c r="I20" s="734"/>
      <c r="J20" s="733"/>
      <c r="K20" s="735"/>
      <c r="L20" s="736"/>
      <c r="M20" s="475">
        <v>0</v>
      </c>
      <c r="N20" s="475">
        <v>2</v>
      </c>
      <c r="O20" s="476">
        <v>0</v>
      </c>
      <c r="P20" s="476">
        <v>0</v>
      </c>
      <c r="Q20" s="735"/>
      <c r="R20" s="735"/>
      <c r="S20" s="735"/>
      <c r="T20" s="735"/>
      <c r="U20" s="743"/>
    </row>
    <row r="21" spans="2:21" ht="15" x14ac:dyDescent="0.2">
      <c r="B21" s="724" t="s">
        <v>429</v>
      </c>
      <c r="C21" s="722" t="s">
        <v>427</v>
      </c>
      <c r="D21" s="722" t="s">
        <v>269</v>
      </c>
      <c r="E21" s="722" t="s">
        <v>428</v>
      </c>
      <c r="F21" s="727" t="s">
        <v>71</v>
      </c>
      <c r="G21" s="728">
        <v>0</v>
      </c>
      <c r="H21" s="729">
        <v>1.2</v>
      </c>
      <c r="I21" s="729">
        <v>0</v>
      </c>
      <c r="J21" s="728">
        <v>0</v>
      </c>
      <c r="K21" s="730">
        <f>I21*G21</f>
        <v>0</v>
      </c>
      <c r="L21" s="731">
        <v>0</v>
      </c>
      <c r="M21" s="448">
        <v>2</v>
      </c>
      <c r="N21" s="448">
        <v>1</v>
      </c>
      <c r="O21" s="449">
        <f>((0.2+1.8+1.5+1.8+0.2)*1.2)</f>
        <v>6.6</v>
      </c>
      <c r="P21" s="449">
        <f>1.2+1.5+1.2</f>
        <v>3.9000000000000004</v>
      </c>
      <c r="Q21" s="730">
        <f>((O21*M21)+(O22*M22)+(G21*(H21+I21))+J21)</f>
        <v>13.2</v>
      </c>
      <c r="R21" s="730">
        <f>I21+K21</f>
        <v>0</v>
      </c>
      <c r="S21" s="730">
        <f>L21+M21*P21+M22*P22</f>
        <v>7.8000000000000007</v>
      </c>
      <c r="T21" s="730">
        <f>0.2*S21</f>
        <v>1.5600000000000003</v>
      </c>
      <c r="U21" s="738">
        <f>(Q21-R21-T21)</f>
        <v>11.639999999999999</v>
      </c>
    </row>
    <row r="22" spans="2:21" ht="15" x14ac:dyDescent="0.2">
      <c r="B22" s="725"/>
      <c r="C22" s="722"/>
      <c r="D22" s="722"/>
      <c r="E22" s="722"/>
      <c r="F22" s="727"/>
      <c r="G22" s="728"/>
      <c r="H22" s="729"/>
      <c r="I22" s="729"/>
      <c r="J22" s="728"/>
      <c r="K22" s="730"/>
      <c r="L22" s="731"/>
      <c r="M22" s="448">
        <v>0</v>
      </c>
      <c r="N22" s="448">
        <v>2</v>
      </c>
      <c r="O22" s="449">
        <v>0</v>
      </c>
      <c r="P22" s="449">
        <v>0</v>
      </c>
      <c r="Q22" s="730"/>
      <c r="R22" s="730"/>
      <c r="S22" s="730"/>
      <c r="T22" s="730"/>
      <c r="U22" s="738"/>
    </row>
    <row r="23" spans="2:21" ht="15" x14ac:dyDescent="0.2">
      <c r="B23" s="725"/>
      <c r="C23" s="722"/>
      <c r="D23" s="722"/>
      <c r="E23" s="722"/>
      <c r="F23" s="727" t="s">
        <v>268</v>
      </c>
      <c r="G23" s="728">
        <v>0</v>
      </c>
      <c r="H23" s="729">
        <v>1.2</v>
      </c>
      <c r="I23" s="729">
        <v>0</v>
      </c>
      <c r="J23" s="728">
        <v>0</v>
      </c>
      <c r="K23" s="730">
        <f t="shared" ref="K23" si="24">I23*G23</f>
        <v>0</v>
      </c>
      <c r="L23" s="731">
        <v>0</v>
      </c>
      <c r="M23" s="448">
        <v>2</v>
      </c>
      <c r="N23" s="448">
        <v>1</v>
      </c>
      <c r="O23" s="449">
        <f>((0.2+1.8+1.5+1.8+0.2)*1.2)</f>
        <v>6.6</v>
      </c>
      <c r="P23" s="449">
        <f>1.2+1.5+1.2</f>
        <v>3.9000000000000004</v>
      </c>
      <c r="Q23" s="730">
        <f t="shared" ref="Q23" si="25">((O23*M23)+(O24*M24)+(G23*(H23+I23))+J23)</f>
        <v>13.2</v>
      </c>
      <c r="R23" s="730">
        <f t="shared" ref="R23" si="26">I23+K23</f>
        <v>0</v>
      </c>
      <c r="S23" s="730">
        <f t="shared" ref="S23" si="27">L23+M23*P23+M24*P24</f>
        <v>7.8000000000000007</v>
      </c>
      <c r="T23" s="730">
        <f t="shared" ref="T23" si="28">0.2*S23</f>
        <v>1.5600000000000003</v>
      </c>
      <c r="U23" s="738">
        <f t="shared" ref="U23" si="29">(Q23-R23-T23)</f>
        <v>11.639999999999999</v>
      </c>
    </row>
    <row r="24" spans="2:21" ht="15" x14ac:dyDescent="0.2">
      <c r="B24" s="725"/>
      <c r="C24" s="747"/>
      <c r="D24" s="747"/>
      <c r="E24" s="747"/>
      <c r="F24" s="751"/>
      <c r="G24" s="745"/>
      <c r="H24" s="744"/>
      <c r="I24" s="744"/>
      <c r="J24" s="745"/>
      <c r="K24" s="737"/>
      <c r="L24" s="746"/>
      <c r="M24" s="450">
        <v>0</v>
      </c>
      <c r="N24" s="450">
        <v>2</v>
      </c>
      <c r="O24" s="451">
        <v>0</v>
      </c>
      <c r="P24" s="451">
        <v>0</v>
      </c>
      <c r="Q24" s="737"/>
      <c r="R24" s="737"/>
      <c r="S24" s="737"/>
      <c r="T24" s="737"/>
      <c r="U24" s="739"/>
    </row>
    <row r="25" spans="2:21" ht="15" x14ac:dyDescent="0.2">
      <c r="B25" s="725"/>
      <c r="C25" s="722" t="s">
        <v>1271</v>
      </c>
      <c r="D25" s="722" t="s">
        <v>269</v>
      </c>
      <c r="E25" s="722" t="s">
        <v>427</v>
      </c>
      <c r="F25" s="727" t="s">
        <v>71</v>
      </c>
      <c r="G25" s="728">
        <v>0</v>
      </c>
      <c r="H25" s="729">
        <v>1.2</v>
      </c>
      <c r="I25" s="729">
        <v>0</v>
      </c>
      <c r="J25" s="728">
        <v>8.6999999999999993</v>
      </c>
      <c r="K25" s="730">
        <f>I25*G25</f>
        <v>0</v>
      </c>
      <c r="L25" s="731">
        <v>0</v>
      </c>
      <c r="M25" s="448">
        <v>3</v>
      </c>
      <c r="N25" s="448">
        <v>1</v>
      </c>
      <c r="O25" s="449">
        <f>((0.2+1.8+1.5+1.8+0.2)*1.2)</f>
        <v>6.6</v>
      </c>
      <c r="P25" s="449">
        <f>1.2+1.5+1.2</f>
        <v>3.9000000000000004</v>
      </c>
      <c r="Q25" s="730">
        <f>((O25*M25)+(O26*M26)+(G25*(H25+I25))+J25)</f>
        <v>28.499999999999996</v>
      </c>
      <c r="R25" s="730">
        <f>I25+K25</f>
        <v>0</v>
      </c>
      <c r="S25" s="730">
        <f>L25+M25*P25+M26*P26</f>
        <v>11.700000000000001</v>
      </c>
      <c r="T25" s="730">
        <f>0.2*S25</f>
        <v>2.3400000000000003</v>
      </c>
      <c r="U25" s="738">
        <f>(Q25-R25-T25)</f>
        <v>26.159999999999997</v>
      </c>
    </row>
    <row r="26" spans="2:21" ht="15" x14ac:dyDescent="0.2">
      <c r="B26" s="725"/>
      <c r="C26" s="722"/>
      <c r="D26" s="722"/>
      <c r="E26" s="722"/>
      <c r="F26" s="727"/>
      <c r="G26" s="728"/>
      <c r="H26" s="729"/>
      <c r="I26" s="729"/>
      <c r="J26" s="728"/>
      <c r="K26" s="730"/>
      <c r="L26" s="731"/>
      <c r="M26" s="448">
        <v>0</v>
      </c>
      <c r="N26" s="448">
        <v>2</v>
      </c>
      <c r="O26" s="449">
        <v>0</v>
      </c>
      <c r="P26" s="449">
        <v>0</v>
      </c>
      <c r="Q26" s="730"/>
      <c r="R26" s="730"/>
      <c r="S26" s="730"/>
      <c r="T26" s="730"/>
      <c r="U26" s="738"/>
    </row>
    <row r="27" spans="2:21" ht="15" x14ac:dyDescent="0.2">
      <c r="B27" s="725"/>
      <c r="C27" s="722"/>
      <c r="D27" s="722"/>
      <c r="E27" s="722"/>
      <c r="F27" s="727" t="s">
        <v>268</v>
      </c>
      <c r="G27" s="728">
        <v>0</v>
      </c>
      <c r="H27" s="729">
        <v>1.2</v>
      </c>
      <c r="I27" s="729">
        <v>0</v>
      </c>
      <c r="J27" s="728">
        <v>8.33</v>
      </c>
      <c r="K27" s="730">
        <f t="shared" ref="K27" si="30">I27*G27</f>
        <v>0</v>
      </c>
      <c r="L27" s="731">
        <v>0</v>
      </c>
      <c r="M27" s="448">
        <v>3</v>
      </c>
      <c r="N27" s="448">
        <v>1</v>
      </c>
      <c r="O27" s="449">
        <f>((0.2+1.8+1.5+1.8+0.2)*1.2)</f>
        <v>6.6</v>
      </c>
      <c r="P27" s="449">
        <f>1.2+1.5+1.2</f>
        <v>3.9000000000000004</v>
      </c>
      <c r="Q27" s="730">
        <f t="shared" ref="Q27" si="31">((O27*M27)+(O28*M28)+(G27*(H27+I27))+J27)</f>
        <v>28.129999999999995</v>
      </c>
      <c r="R27" s="730">
        <f t="shared" ref="R27" si="32">I27+K27</f>
        <v>0</v>
      </c>
      <c r="S27" s="730">
        <f t="shared" ref="S27" si="33">L27+M27*P27+M28*P28</f>
        <v>11.700000000000001</v>
      </c>
      <c r="T27" s="730">
        <f t="shared" ref="T27" si="34">0.2*S27</f>
        <v>2.3400000000000003</v>
      </c>
      <c r="U27" s="738">
        <f t="shared" ref="U27" si="35">(Q27-R27-T27)</f>
        <v>25.789999999999996</v>
      </c>
    </row>
    <row r="28" spans="2:21" ht="15.75" thickBot="1" x14ac:dyDescent="0.25">
      <c r="B28" s="726"/>
      <c r="C28" s="723"/>
      <c r="D28" s="723"/>
      <c r="E28" s="723"/>
      <c r="F28" s="732"/>
      <c r="G28" s="733"/>
      <c r="H28" s="734"/>
      <c r="I28" s="734"/>
      <c r="J28" s="733"/>
      <c r="K28" s="735"/>
      <c r="L28" s="736"/>
      <c r="M28" s="475">
        <v>0</v>
      </c>
      <c r="N28" s="475">
        <v>2</v>
      </c>
      <c r="O28" s="476">
        <v>0</v>
      </c>
      <c r="P28" s="476">
        <v>0</v>
      </c>
      <c r="Q28" s="735"/>
      <c r="R28" s="735"/>
      <c r="S28" s="735"/>
      <c r="T28" s="735"/>
      <c r="U28" s="743"/>
    </row>
    <row r="29" spans="2:21" ht="15.75" customHeight="1" thickBot="1" x14ac:dyDescent="0.25">
      <c r="B29" s="134" t="s">
        <v>0</v>
      </c>
      <c r="C29" s="135"/>
      <c r="D29" s="135"/>
      <c r="E29" s="135"/>
      <c r="F29" s="136"/>
      <c r="G29" s="452">
        <v>0</v>
      </c>
      <c r="H29" s="453"/>
      <c r="I29" s="453"/>
      <c r="J29" s="454">
        <f>SUM(J5:J28)</f>
        <v>153.39999999999998</v>
      </c>
      <c r="K29" s="454">
        <f>SUM(K5:K28)</f>
        <v>0</v>
      </c>
      <c r="L29" s="455"/>
      <c r="M29" s="452">
        <f>SUM(M5:M28)</f>
        <v>22</v>
      </c>
      <c r="N29" s="452"/>
      <c r="O29" s="456"/>
      <c r="P29" s="456"/>
      <c r="Q29" s="456">
        <f>SUM(Q5:Q28)</f>
        <v>298.59999999999991</v>
      </c>
      <c r="R29" s="456">
        <f>SUM(R5:R28)</f>
        <v>0</v>
      </c>
      <c r="S29" s="456">
        <f>SUM(S5:S28)</f>
        <v>85.8</v>
      </c>
      <c r="T29" s="456">
        <f>SUM(T5:T28)</f>
        <v>17.160000000000004</v>
      </c>
      <c r="U29" s="456">
        <f>SUM(U5:U28)</f>
        <v>281.44</v>
      </c>
    </row>
    <row r="30" spans="2:21" ht="15" x14ac:dyDescent="0.2">
      <c r="B30" s="114"/>
      <c r="C30" s="115"/>
      <c r="D30" s="115"/>
      <c r="E30" s="115"/>
      <c r="F30" s="114"/>
      <c r="G30" s="457"/>
      <c r="H30" s="458"/>
      <c r="I30" s="458"/>
      <c r="J30" s="459"/>
      <c r="K30" s="459"/>
      <c r="L30" s="460"/>
      <c r="M30" s="461"/>
      <c r="N30" s="461"/>
      <c r="O30" s="461"/>
      <c r="P30" s="461"/>
      <c r="Q30" s="461"/>
      <c r="R30" s="461"/>
      <c r="S30" s="461"/>
      <c r="T30" s="461"/>
      <c r="U30" s="461"/>
    </row>
    <row r="31" spans="2:21" ht="15.75" thickBot="1" x14ac:dyDescent="0.25">
      <c r="B31" s="114"/>
      <c r="C31" s="115"/>
      <c r="D31" s="115"/>
      <c r="E31" s="115"/>
      <c r="F31" s="114"/>
      <c r="G31" s="462"/>
      <c r="H31" s="463"/>
      <c r="I31" s="463"/>
      <c r="J31" s="464"/>
      <c r="K31" s="459"/>
      <c r="L31" s="460"/>
      <c r="M31" s="465"/>
      <c r="N31" s="465"/>
      <c r="O31" s="465"/>
      <c r="P31" s="465"/>
      <c r="Q31" s="461"/>
      <c r="R31" s="465"/>
      <c r="S31" s="465"/>
      <c r="T31" s="465"/>
      <c r="U31" s="465"/>
    </row>
    <row r="32" spans="2:21" ht="18" customHeight="1" thickBot="1" x14ac:dyDescent="0.25">
      <c r="F32" s="119"/>
      <c r="G32" s="740" t="s">
        <v>267</v>
      </c>
      <c r="H32" s="741"/>
      <c r="I32" s="741"/>
      <c r="J32" s="742"/>
      <c r="K32" s="120"/>
      <c r="L32" s="121"/>
      <c r="M32" s="740" t="s">
        <v>72</v>
      </c>
      <c r="N32" s="741"/>
      <c r="O32" s="741"/>
      <c r="P32" s="742"/>
      <c r="Q32" s="120"/>
      <c r="R32" s="740" t="s">
        <v>73</v>
      </c>
      <c r="S32" s="741"/>
      <c r="T32" s="741"/>
      <c r="U32" s="742"/>
    </row>
    <row r="33" spans="6:21" ht="18" customHeight="1" x14ac:dyDescent="0.2">
      <c r="F33" s="122"/>
      <c r="G33" s="114"/>
      <c r="H33" s="122" t="s">
        <v>74</v>
      </c>
      <c r="I33" s="457">
        <f>Q29</f>
        <v>298.59999999999991</v>
      </c>
      <c r="J33" s="123" t="s">
        <v>2</v>
      </c>
      <c r="K33" s="120"/>
      <c r="L33" s="121"/>
      <c r="M33" s="122"/>
      <c r="N33" s="122" t="s">
        <v>75</v>
      </c>
      <c r="O33" s="457">
        <f>S29</f>
        <v>85.8</v>
      </c>
      <c r="P33" s="124" t="s">
        <v>4</v>
      </c>
      <c r="Q33" s="120"/>
      <c r="R33" s="125"/>
      <c r="S33" s="125" t="s">
        <v>76</v>
      </c>
      <c r="T33" s="457">
        <f>U29</f>
        <v>281.44</v>
      </c>
      <c r="U33" s="123" t="s">
        <v>2</v>
      </c>
    </row>
    <row r="34" spans="6:21" ht="18" customHeight="1" x14ac:dyDescent="0.2">
      <c r="F34" s="119"/>
      <c r="H34" s="122" t="s">
        <v>266</v>
      </c>
      <c r="I34" s="126">
        <f>TRUNC(I33*0.1,2)</f>
        <v>29.86</v>
      </c>
      <c r="J34" s="123" t="s">
        <v>3</v>
      </c>
      <c r="K34" s="120"/>
      <c r="L34" s="121"/>
      <c r="N34" s="122" t="s">
        <v>77</v>
      </c>
      <c r="O34" s="126">
        <v>35</v>
      </c>
      <c r="P34" s="124" t="s">
        <v>78</v>
      </c>
      <c r="Q34" s="120"/>
      <c r="R34" s="122"/>
      <c r="S34" s="122" t="s">
        <v>79</v>
      </c>
      <c r="T34" s="114">
        <v>7.0000000000000007E-2</v>
      </c>
      <c r="U34" s="123" t="s">
        <v>4</v>
      </c>
    </row>
    <row r="35" spans="6:21" ht="18" customHeight="1" x14ac:dyDescent="0.2">
      <c r="F35" s="119"/>
      <c r="H35" s="122" t="s">
        <v>80</v>
      </c>
      <c r="I35" s="127">
        <f>DMT!F12</f>
        <v>12.2</v>
      </c>
      <c r="J35" s="128" t="s">
        <v>81</v>
      </c>
      <c r="K35" s="120"/>
      <c r="L35" s="121"/>
      <c r="N35" s="122" t="s">
        <v>265</v>
      </c>
      <c r="O35" s="457">
        <f>TRUNC(T29*O34*30*0.001,2)</f>
        <v>18.010000000000002</v>
      </c>
      <c r="P35" s="124" t="s">
        <v>82</v>
      </c>
      <c r="Q35" s="120"/>
      <c r="R35" s="122"/>
      <c r="S35" s="122" t="s">
        <v>106</v>
      </c>
      <c r="T35" s="126">
        <f>TRUNC(T34*T33,2)</f>
        <v>19.7</v>
      </c>
      <c r="U35" s="128" t="s">
        <v>3</v>
      </c>
    </row>
    <row r="36" spans="6:21" ht="18" customHeight="1" x14ac:dyDescent="0.2">
      <c r="F36" s="119"/>
      <c r="H36" s="122" t="s">
        <v>298</v>
      </c>
      <c r="I36" s="461">
        <f>TRUNC(I35*I34,2)</f>
        <v>364.29</v>
      </c>
      <c r="J36" s="128" t="s">
        <v>21</v>
      </c>
      <c r="K36" s="120"/>
      <c r="L36" s="121"/>
      <c r="N36" s="122" t="s">
        <v>264</v>
      </c>
      <c r="O36" s="457">
        <f>TRUNC(T29*O34*(O37-30)*0.001,2)</f>
        <v>3.36</v>
      </c>
      <c r="P36" s="124" t="s">
        <v>82</v>
      </c>
      <c r="Q36" s="129"/>
      <c r="R36" s="129"/>
      <c r="S36" s="122" t="s">
        <v>108</v>
      </c>
      <c r="T36" s="457">
        <f>T29</f>
        <v>17.160000000000004</v>
      </c>
      <c r="U36" s="123" t="s">
        <v>2</v>
      </c>
    </row>
    <row r="37" spans="6:21" ht="18" customHeight="1" x14ac:dyDescent="0.2">
      <c r="F37" s="119"/>
      <c r="H37" s="122" t="s">
        <v>83</v>
      </c>
      <c r="I37" s="127">
        <f>R29</f>
        <v>0</v>
      </c>
      <c r="J37" s="123" t="s">
        <v>2</v>
      </c>
      <c r="K37" s="120"/>
      <c r="L37" s="121"/>
      <c r="M37" s="120"/>
      <c r="N37" s="122" t="s">
        <v>107</v>
      </c>
      <c r="O37" s="126">
        <f>DMT!F11</f>
        <v>35.6</v>
      </c>
      <c r="P37" s="124" t="s">
        <v>81</v>
      </c>
      <c r="Q37" s="120"/>
      <c r="R37" s="122"/>
      <c r="S37" s="122" t="s">
        <v>109</v>
      </c>
      <c r="T37" s="114">
        <f>T34-0.025</f>
        <v>4.5000000000000005E-2</v>
      </c>
      <c r="U37" s="123" t="s">
        <v>4</v>
      </c>
    </row>
    <row r="38" spans="6:21" ht="18" customHeight="1" x14ac:dyDescent="0.2">
      <c r="F38" s="119"/>
      <c r="G38" s="119"/>
      <c r="H38" s="120"/>
      <c r="I38" s="120"/>
      <c r="J38" s="119"/>
      <c r="K38" s="120"/>
      <c r="L38" s="121"/>
      <c r="M38" s="120"/>
      <c r="N38" s="120"/>
      <c r="O38" s="120"/>
      <c r="P38" s="120"/>
      <c r="Q38" s="120"/>
      <c r="R38" s="122"/>
      <c r="S38" s="122" t="s">
        <v>110</v>
      </c>
      <c r="T38" s="126">
        <f>TRUNC(T37*T36,2)</f>
        <v>0.77</v>
      </c>
      <c r="U38" s="128" t="s">
        <v>3</v>
      </c>
    </row>
    <row r="39" spans="6:21" ht="18" customHeight="1" x14ac:dyDescent="0.2">
      <c r="F39" s="119"/>
      <c r="G39" s="119"/>
      <c r="H39" s="120"/>
      <c r="I39" s="120"/>
      <c r="J39" s="119"/>
      <c r="K39" s="120"/>
      <c r="L39" s="121"/>
      <c r="M39" s="120"/>
      <c r="N39" s="120"/>
      <c r="O39" s="120"/>
      <c r="P39" s="120"/>
      <c r="Q39" s="120"/>
      <c r="R39" s="120"/>
      <c r="S39" s="130" t="s">
        <v>84</v>
      </c>
      <c r="T39" s="131">
        <f>T38+T35</f>
        <v>20.47</v>
      </c>
      <c r="U39" s="132" t="s">
        <v>3</v>
      </c>
    </row>
    <row r="40" spans="6:21" ht="18" customHeight="1" x14ac:dyDescent="0.2">
      <c r="S40" s="122" t="s">
        <v>299</v>
      </c>
      <c r="T40" s="126">
        <v>0</v>
      </c>
      <c r="U40" s="124" t="s">
        <v>3</v>
      </c>
    </row>
    <row r="41" spans="6:21" ht="18" customHeight="1" x14ac:dyDescent="0.2">
      <c r="S41" s="122"/>
      <c r="T41" s="126"/>
      <c r="U41" s="124"/>
    </row>
  </sheetData>
  <mergeCells count="182">
    <mergeCell ref="B2:U2"/>
    <mergeCell ref="B3:B4"/>
    <mergeCell ref="C3:E4"/>
    <mergeCell ref="F3:F4"/>
    <mergeCell ref="G3:G4"/>
    <mergeCell ref="H3:H4"/>
    <mergeCell ref="I3:I4"/>
    <mergeCell ref="J3:L3"/>
    <mergeCell ref="M3:P3"/>
    <mergeCell ref="Q3:Q4"/>
    <mergeCell ref="R3:R4"/>
    <mergeCell ref="S3:S4"/>
    <mergeCell ref="T3:T4"/>
    <mergeCell ref="U3:U4"/>
    <mergeCell ref="B5:B12"/>
    <mergeCell ref="C5:C8"/>
    <mergeCell ref="D5:D8"/>
    <mergeCell ref="E5:E8"/>
    <mergeCell ref="F5:F6"/>
    <mergeCell ref="G5:G6"/>
    <mergeCell ref="H5:H6"/>
    <mergeCell ref="I5:I6"/>
    <mergeCell ref="J5:J6"/>
    <mergeCell ref="C9:C12"/>
    <mergeCell ref="D9:D12"/>
    <mergeCell ref="E9:E12"/>
    <mergeCell ref="F9:F10"/>
    <mergeCell ref="G9:G10"/>
    <mergeCell ref="H9:H10"/>
    <mergeCell ref="I9:I10"/>
    <mergeCell ref="U5:U6"/>
    <mergeCell ref="F7:F8"/>
    <mergeCell ref="G7:G8"/>
    <mergeCell ref="H7:H8"/>
    <mergeCell ref="I7:I8"/>
    <mergeCell ref="J7:J8"/>
    <mergeCell ref="K7:K8"/>
    <mergeCell ref="L7:L8"/>
    <mergeCell ref="Q7:Q8"/>
    <mergeCell ref="R7:R8"/>
    <mergeCell ref="K5:K6"/>
    <mergeCell ref="L5:L6"/>
    <mergeCell ref="Q5:Q6"/>
    <mergeCell ref="R5:R6"/>
    <mergeCell ref="S5:S6"/>
    <mergeCell ref="T5:T6"/>
    <mergeCell ref="S7:S8"/>
    <mergeCell ref="T7:T8"/>
    <mergeCell ref="U7:U8"/>
    <mergeCell ref="T9:T10"/>
    <mergeCell ref="U9:U10"/>
    <mergeCell ref="F11:F12"/>
    <mergeCell ref="G11:G12"/>
    <mergeCell ref="H11:H12"/>
    <mergeCell ref="I11:I12"/>
    <mergeCell ref="J11:J12"/>
    <mergeCell ref="K11:K12"/>
    <mergeCell ref="L11:L12"/>
    <mergeCell ref="Q11:Q12"/>
    <mergeCell ref="J9:J10"/>
    <mergeCell ref="K9:K10"/>
    <mergeCell ref="L9:L10"/>
    <mergeCell ref="Q9:Q10"/>
    <mergeCell ref="R9:R10"/>
    <mergeCell ref="S9:S10"/>
    <mergeCell ref="R11:R12"/>
    <mergeCell ref="S11:S12"/>
    <mergeCell ref="T11:T12"/>
    <mergeCell ref="U11:U12"/>
    <mergeCell ref="I15:I16"/>
    <mergeCell ref="J15:J16"/>
    <mergeCell ref="K15:K16"/>
    <mergeCell ref="H13:H14"/>
    <mergeCell ref="I13:I14"/>
    <mergeCell ref="J13:J14"/>
    <mergeCell ref="K13:K14"/>
    <mergeCell ref="L15:L16"/>
    <mergeCell ref="Q15:Q16"/>
    <mergeCell ref="H15:H16"/>
    <mergeCell ref="R15:R16"/>
    <mergeCell ref="S15:S16"/>
    <mergeCell ref="T15:T16"/>
    <mergeCell ref="U15:U16"/>
    <mergeCell ref="R13:R14"/>
    <mergeCell ref="S13:S14"/>
    <mergeCell ref="T13:T14"/>
    <mergeCell ref="U13:U14"/>
    <mergeCell ref="L13:L14"/>
    <mergeCell ref="Q13:Q14"/>
    <mergeCell ref="S17:S18"/>
    <mergeCell ref="T17:T18"/>
    <mergeCell ref="U17:U18"/>
    <mergeCell ref="F19:F20"/>
    <mergeCell ref="G19:G20"/>
    <mergeCell ref="H19:H20"/>
    <mergeCell ref="I19:I20"/>
    <mergeCell ref="J19:J20"/>
    <mergeCell ref="K19:K20"/>
    <mergeCell ref="L19:L20"/>
    <mergeCell ref="I17:I18"/>
    <mergeCell ref="J17:J18"/>
    <mergeCell ref="K17:K18"/>
    <mergeCell ref="L17:L18"/>
    <mergeCell ref="Q17:Q18"/>
    <mergeCell ref="R17:R18"/>
    <mergeCell ref="F17:F18"/>
    <mergeCell ref="G17:G18"/>
    <mergeCell ref="H17:H18"/>
    <mergeCell ref="Q19:Q20"/>
    <mergeCell ref="R19:R20"/>
    <mergeCell ref="S19:S20"/>
    <mergeCell ref="T19:T20"/>
    <mergeCell ref="U19:U20"/>
    <mergeCell ref="B13:B20"/>
    <mergeCell ref="C13:C16"/>
    <mergeCell ref="D13:D16"/>
    <mergeCell ref="E13:E16"/>
    <mergeCell ref="F13:F14"/>
    <mergeCell ref="G13:G14"/>
    <mergeCell ref="F15:F16"/>
    <mergeCell ref="G15:G16"/>
    <mergeCell ref="F23:F24"/>
    <mergeCell ref="G23:G24"/>
    <mergeCell ref="L23:L24"/>
    <mergeCell ref="I21:I22"/>
    <mergeCell ref="J21:J22"/>
    <mergeCell ref="K21:K22"/>
    <mergeCell ref="L21:L22"/>
    <mergeCell ref="C17:C20"/>
    <mergeCell ref="D17:D20"/>
    <mergeCell ref="E17:E20"/>
    <mergeCell ref="C21:C24"/>
    <mergeCell ref="D21:D24"/>
    <mergeCell ref="E21:E24"/>
    <mergeCell ref="F21:F22"/>
    <mergeCell ref="G21:G22"/>
    <mergeCell ref="Q23:Q24"/>
    <mergeCell ref="R23:R24"/>
    <mergeCell ref="S23:S24"/>
    <mergeCell ref="T23:T24"/>
    <mergeCell ref="U23:U24"/>
    <mergeCell ref="G32:J32"/>
    <mergeCell ref="M32:P32"/>
    <mergeCell ref="R32:U32"/>
    <mergeCell ref="S21:S22"/>
    <mergeCell ref="T21:T22"/>
    <mergeCell ref="U21:U22"/>
    <mergeCell ref="Q21:Q22"/>
    <mergeCell ref="R21:R22"/>
    <mergeCell ref="H21:H22"/>
    <mergeCell ref="S27:S28"/>
    <mergeCell ref="T27:T28"/>
    <mergeCell ref="U27:U28"/>
    <mergeCell ref="S25:S26"/>
    <mergeCell ref="T25:T26"/>
    <mergeCell ref="U25:U26"/>
    <mergeCell ref="H23:H24"/>
    <mergeCell ref="I23:I24"/>
    <mergeCell ref="J23:J24"/>
    <mergeCell ref="K23:K24"/>
    <mergeCell ref="K25:K26"/>
    <mergeCell ref="L25:L26"/>
    <mergeCell ref="Q25:Q26"/>
    <mergeCell ref="R25:R26"/>
    <mergeCell ref="F27:F28"/>
    <mergeCell ref="G27:G28"/>
    <mergeCell ref="H27:H28"/>
    <mergeCell ref="I27:I28"/>
    <mergeCell ref="J27:J28"/>
    <mergeCell ref="K27:K28"/>
    <mergeCell ref="L27:L28"/>
    <mergeCell ref="Q27:Q28"/>
    <mergeCell ref="R27:R28"/>
    <mergeCell ref="C25:C28"/>
    <mergeCell ref="E25:E28"/>
    <mergeCell ref="D25:D28"/>
    <mergeCell ref="B21:B28"/>
    <mergeCell ref="F25:F26"/>
    <mergeCell ref="G25:G26"/>
    <mergeCell ref="H25:H26"/>
    <mergeCell ref="I25:I26"/>
    <mergeCell ref="J25:J26"/>
  </mergeCells>
  <pageMargins left="0.51181102362204722" right="0.51181102362204722" top="0.78740157480314965" bottom="0.78740157480314965" header="0.31496062992125984" footer="0.31496062992125984"/>
  <pageSetup paperSize="9" scale="50" fitToHeight="0" orientation="landscape" r:id="rId1"/>
  <headerFooter>
    <oddFooter>&amp;C&amp;"-,Regular"&amp;K01+049&amp;P de &amp;N</oddFooter>
  </headerFooter>
  <rowBreaks count="1" manualBreakCount="1">
    <brk id="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B2:J26"/>
  <sheetViews>
    <sheetView showGridLines="0" view="pageBreakPreview" topLeftCell="A17" zoomScaleNormal="85" zoomScaleSheetLayoutView="100" workbookViewId="0">
      <selection activeCell="B24" sqref="B24:H24"/>
    </sheetView>
  </sheetViews>
  <sheetFormatPr defaultColWidth="10.6640625" defaultRowHeight="39.950000000000003" customHeight="1" x14ac:dyDescent="0.25"/>
  <cols>
    <col min="1" max="1" width="10.6640625" style="417"/>
    <col min="2" max="2" width="31.33203125" style="417" bestFit="1" customWidth="1"/>
    <col min="3" max="14" width="25" style="417" customWidth="1"/>
    <col min="15" max="16384" width="10.6640625" style="417"/>
  </cols>
  <sheetData>
    <row r="2" spans="2:10" ht="39.950000000000003" customHeight="1" thickBot="1" x14ac:dyDescent="0.3">
      <c r="B2" s="773" t="s">
        <v>1081</v>
      </c>
      <c r="C2" s="774"/>
      <c r="D2" s="774"/>
      <c r="E2" s="774"/>
      <c r="F2" s="774"/>
      <c r="G2" s="774"/>
      <c r="H2" s="775"/>
    </row>
    <row r="3" spans="2:10" ht="39.950000000000003" customHeight="1" x14ac:dyDescent="0.25">
      <c r="B3" s="767" t="s">
        <v>434</v>
      </c>
      <c r="C3" s="768"/>
      <c r="D3" s="768"/>
      <c r="E3" s="768"/>
      <c r="F3" s="768"/>
      <c r="G3" s="768"/>
      <c r="H3" s="769"/>
    </row>
    <row r="4" spans="2:10" ht="39.950000000000003" customHeight="1" x14ac:dyDescent="0.25">
      <c r="B4" s="418" t="s">
        <v>53</v>
      </c>
      <c r="C4" s="419" t="s">
        <v>85</v>
      </c>
      <c r="D4" s="419" t="s">
        <v>86</v>
      </c>
      <c r="E4" s="419" t="s">
        <v>87</v>
      </c>
      <c r="F4" s="419" t="s">
        <v>88</v>
      </c>
      <c r="G4" s="419" t="s">
        <v>89</v>
      </c>
      <c r="H4" s="420" t="s">
        <v>54</v>
      </c>
    </row>
    <row r="5" spans="2:10" ht="58.5" customHeight="1" x14ac:dyDescent="0.25">
      <c r="B5" s="421" t="s">
        <v>435</v>
      </c>
      <c r="C5" s="422"/>
      <c r="D5" s="422" t="s">
        <v>90</v>
      </c>
      <c r="E5" s="422" t="s">
        <v>91</v>
      </c>
      <c r="F5" s="423">
        <v>0.1</v>
      </c>
      <c r="G5" s="423">
        <v>180</v>
      </c>
      <c r="H5" s="424">
        <f>F5*G5</f>
        <v>18</v>
      </c>
    </row>
    <row r="6" spans="2:10" ht="56.25" customHeight="1" x14ac:dyDescent="0.25">
      <c r="B6" s="421" t="s">
        <v>436</v>
      </c>
      <c r="C6" s="422"/>
      <c r="D6" s="422" t="s">
        <v>90</v>
      </c>
      <c r="E6" s="422" t="s">
        <v>91</v>
      </c>
      <c r="F6" s="423">
        <v>0.1</v>
      </c>
      <c r="G6" s="423">
        <f>262.94/3</f>
        <v>87.646666666666661</v>
      </c>
      <c r="H6" s="424">
        <f>F6*G6/3</f>
        <v>2.9215555555555555</v>
      </c>
    </row>
    <row r="7" spans="2:10" s="33" customFormat="1" ht="54" customHeight="1" x14ac:dyDescent="0.25">
      <c r="B7" s="69" t="s">
        <v>446</v>
      </c>
      <c r="C7" s="68"/>
      <c r="D7" s="68" t="s">
        <v>94</v>
      </c>
      <c r="E7" s="68" t="s">
        <v>91</v>
      </c>
      <c r="F7" s="34">
        <v>0.1</v>
      </c>
      <c r="G7" s="34">
        <f>156.55/3</f>
        <v>52.183333333333337</v>
      </c>
      <c r="H7" s="424">
        <f>F7*G7/3</f>
        <v>1.7394444444444446</v>
      </c>
    </row>
    <row r="8" spans="2:10" s="33" customFormat="1" ht="42" customHeight="1" x14ac:dyDescent="0.25">
      <c r="B8" s="69" t="s">
        <v>447</v>
      </c>
      <c r="C8" s="68"/>
      <c r="D8" s="68" t="s">
        <v>94</v>
      </c>
      <c r="E8" s="68" t="s">
        <v>91</v>
      </c>
      <c r="F8" s="34">
        <v>0.1</v>
      </c>
      <c r="G8" s="34">
        <v>60</v>
      </c>
      <c r="H8" s="424">
        <f t="shared" ref="H8" si="0">F8*G8</f>
        <v>6</v>
      </c>
    </row>
    <row r="9" spans="2:10" ht="39.950000000000003" customHeight="1" x14ac:dyDescent="0.25">
      <c r="B9" s="425" t="s">
        <v>55</v>
      </c>
      <c r="C9" s="426"/>
      <c r="D9" s="426"/>
      <c r="E9" s="426"/>
      <c r="F9" s="426"/>
      <c r="G9" s="427">
        <f>SUM(G5:G8)</f>
        <v>379.83</v>
      </c>
      <c r="H9" s="428"/>
    </row>
    <row r="10" spans="2:10" ht="39.950000000000003" customHeight="1" x14ac:dyDescent="0.25">
      <c r="B10" s="770" t="s">
        <v>92</v>
      </c>
      <c r="C10" s="771"/>
      <c r="D10" s="771"/>
      <c r="E10" s="771"/>
      <c r="F10" s="771"/>
      <c r="G10" s="771"/>
      <c r="H10" s="772"/>
    </row>
    <row r="11" spans="2:10" ht="39.950000000000003" customHeight="1" x14ac:dyDescent="0.25">
      <c r="B11" s="418" t="s">
        <v>53</v>
      </c>
      <c r="C11" s="419" t="s">
        <v>85</v>
      </c>
      <c r="D11" s="419" t="s">
        <v>86</v>
      </c>
      <c r="E11" s="419" t="s">
        <v>93</v>
      </c>
      <c r="F11" s="419" t="s">
        <v>88</v>
      </c>
      <c r="G11" s="419" t="s">
        <v>89</v>
      </c>
      <c r="H11" s="420" t="s">
        <v>54</v>
      </c>
    </row>
    <row r="12" spans="2:10" ht="39.950000000000003" customHeight="1" x14ac:dyDescent="0.25">
      <c r="B12" s="429" t="s">
        <v>56</v>
      </c>
      <c r="C12" s="427"/>
      <c r="D12" s="427" t="s">
        <v>94</v>
      </c>
      <c r="E12" s="427">
        <v>1.45</v>
      </c>
      <c r="F12" s="427" t="s">
        <v>95</v>
      </c>
      <c r="G12" s="427">
        <v>6</v>
      </c>
      <c r="H12" s="428">
        <f>G12*E12</f>
        <v>8.6999999999999993</v>
      </c>
      <c r="J12" s="430">
        <f>H13+H14</f>
        <v>227.11600000000001</v>
      </c>
    </row>
    <row r="13" spans="2:10" ht="39.950000000000003" customHeight="1" x14ac:dyDescent="0.25">
      <c r="B13" s="431" t="s">
        <v>96</v>
      </c>
      <c r="C13" s="423"/>
      <c r="D13" s="427" t="s">
        <v>94</v>
      </c>
      <c r="E13" s="423" t="s">
        <v>95</v>
      </c>
      <c r="F13" s="423">
        <v>0.4</v>
      </c>
      <c r="G13" s="423">
        <v>63.79</v>
      </c>
      <c r="H13" s="428">
        <f>G13*F13</f>
        <v>25.516000000000002</v>
      </c>
      <c r="J13" s="430">
        <f>H17-J12</f>
        <v>141.80000000000004</v>
      </c>
    </row>
    <row r="14" spans="2:10" ht="39.950000000000003" customHeight="1" x14ac:dyDescent="0.25">
      <c r="B14" s="431" t="s">
        <v>98</v>
      </c>
      <c r="C14" s="423"/>
      <c r="D14" s="427" t="s">
        <v>94</v>
      </c>
      <c r="E14" s="423">
        <v>1.6</v>
      </c>
      <c r="F14" s="423">
        <v>0.4</v>
      </c>
      <c r="G14" s="423">
        <v>126</v>
      </c>
      <c r="H14" s="428">
        <f>G14*E14</f>
        <v>201.60000000000002</v>
      </c>
    </row>
    <row r="15" spans="2:10" ht="61.5" customHeight="1" x14ac:dyDescent="0.25">
      <c r="B15" s="431" t="s">
        <v>97</v>
      </c>
      <c r="C15" s="423"/>
      <c r="D15" s="427" t="s">
        <v>94</v>
      </c>
      <c r="E15" s="423">
        <v>1.0900000000000001</v>
      </c>
      <c r="F15" s="423" t="s">
        <v>95</v>
      </c>
      <c r="G15" s="423">
        <v>16</v>
      </c>
      <c r="H15" s="428">
        <f>G15*E15</f>
        <v>17.440000000000001</v>
      </c>
      <c r="I15" s="430"/>
    </row>
    <row r="16" spans="2:10" ht="61.5" customHeight="1" x14ac:dyDescent="0.25">
      <c r="B16" s="431" t="s">
        <v>1262</v>
      </c>
      <c r="C16" s="423"/>
      <c r="D16" s="427" t="s">
        <v>90</v>
      </c>
      <c r="E16" s="423" t="s">
        <v>95</v>
      </c>
      <c r="F16" s="423" t="s">
        <v>95</v>
      </c>
      <c r="G16" s="423">
        <v>2</v>
      </c>
      <c r="H16" s="428">
        <v>115.66</v>
      </c>
      <c r="I16" s="430"/>
    </row>
    <row r="17" spans="2:8" ht="39.950000000000003" customHeight="1" x14ac:dyDescent="0.25">
      <c r="B17" s="432" t="s">
        <v>55</v>
      </c>
      <c r="C17" s="433"/>
      <c r="D17" s="433"/>
      <c r="E17" s="433"/>
      <c r="F17" s="433"/>
      <c r="G17" s="433"/>
      <c r="H17" s="428">
        <f>SUM(H12:H16)</f>
        <v>368.91600000000005</v>
      </c>
    </row>
    <row r="18" spans="2:8" ht="39.950000000000003" customHeight="1" x14ac:dyDescent="0.25">
      <c r="B18" s="770" t="s">
        <v>438</v>
      </c>
      <c r="C18" s="771"/>
      <c r="D18" s="771"/>
      <c r="E18" s="771"/>
      <c r="F18" s="771"/>
      <c r="G18" s="771"/>
      <c r="H18" s="772"/>
    </row>
    <row r="19" spans="2:8" ht="39.950000000000003" customHeight="1" x14ac:dyDescent="0.25">
      <c r="B19" s="418" t="s">
        <v>53</v>
      </c>
      <c r="C19" s="419" t="s">
        <v>57</v>
      </c>
      <c r="D19" s="419" t="s">
        <v>58</v>
      </c>
      <c r="E19" s="419" t="s">
        <v>59</v>
      </c>
      <c r="F19" s="419" t="s">
        <v>60</v>
      </c>
      <c r="G19" s="419" t="s">
        <v>61</v>
      </c>
      <c r="H19" s="420" t="s">
        <v>54</v>
      </c>
    </row>
    <row r="20" spans="2:8" ht="39.950000000000003" customHeight="1" x14ac:dyDescent="0.25">
      <c r="B20" s="429" t="s">
        <v>56</v>
      </c>
      <c r="C20" s="427"/>
      <c r="D20" s="427" t="s">
        <v>62</v>
      </c>
      <c r="E20" s="427" t="s">
        <v>439</v>
      </c>
      <c r="F20" s="427">
        <v>6</v>
      </c>
      <c r="G20" s="434">
        <v>0.59099999999999997</v>
      </c>
      <c r="H20" s="428">
        <f>F20*G20</f>
        <v>3.5459999999999998</v>
      </c>
    </row>
    <row r="21" spans="2:8" ht="39.950000000000003" customHeight="1" x14ac:dyDescent="0.25">
      <c r="B21" s="429" t="s">
        <v>440</v>
      </c>
      <c r="C21" s="427"/>
      <c r="D21" s="427" t="s">
        <v>63</v>
      </c>
      <c r="E21" s="427" t="s">
        <v>441</v>
      </c>
      <c r="F21" s="427">
        <v>9</v>
      </c>
      <c r="G21" s="434">
        <v>0.19600000000000001</v>
      </c>
      <c r="H21" s="428">
        <f>F21*G21</f>
        <v>1.764</v>
      </c>
    </row>
    <row r="22" spans="2:8" ht="39.950000000000003" customHeight="1" x14ac:dyDescent="0.25">
      <c r="B22" s="429" t="s">
        <v>448</v>
      </c>
      <c r="C22" s="427"/>
      <c r="D22" s="427" t="s">
        <v>300</v>
      </c>
      <c r="E22" s="427" t="s">
        <v>449</v>
      </c>
      <c r="F22" s="427">
        <v>2</v>
      </c>
      <c r="G22" s="427">
        <v>0.36</v>
      </c>
      <c r="H22" s="428">
        <f>F22*G22</f>
        <v>0.72</v>
      </c>
    </row>
    <row r="23" spans="2:8" ht="39.950000000000003" customHeight="1" x14ac:dyDescent="0.25">
      <c r="B23" s="429" t="s">
        <v>55</v>
      </c>
      <c r="C23" s="433"/>
      <c r="D23" s="433"/>
      <c r="E23" s="433"/>
      <c r="F23" s="427">
        <f>SUM(F20:F22)</f>
        <v>17</v>
      </c>
      <c r="G23" s="433"/>
      <c r="H23" s="428">
        <f>SUM(H20:H22)</f>
        <v>6.0299999999999994</v>
      </c>
    </row>
    <row r="24" spans="2:8" ht="39.950000000000003" customHeight="1" x14ac:dyDescent="0.25">
      <c r="B24" s="770" t="s">
        <v>442</v>
      </c>
      <c r="C24" s="771"/>
      <c r="D24" s="771"/>
      <c r="E24" s="771"/>
      <c r="F24" s="771"/>
      <c r="G24" s="771"/>
      <c r="H24" s="772"/>
    </row>
    <row r="25" spans="2:8" ht="39.950000000000003" customHeight="1" x14ac:dyDescent="0.25">
      <c r="B25" s="418" t="s">
        <v>53</v>
      </c>
      <c r="C25" s="419" t="s">
        <v>57</v>
      </c>
      <c r="D25" s="419" t="s">
        <v>59</v>
      </c>
      <c r="E25" s="419" t="s">
        <v>60</v>
      </c>
      <c r="F25" s="419" t="s">
        <v>443</v>
      </c>
      <c r="G25" s="419" t="s">
        <v>61</v>
      </c>
      <c r="H25" s="420" t="s">
        <v>54</v>
      </c>
    </row>
    <row r="26" spans="2:8" ht="39.950000000000003" customHeight="1" thickBot="1" x14ac:dyDescent="0.3">
      <c r="B26" s="435" t="s">
        <v>444</v>
      </c>
      <c r="C26" s="436"/>
      <c r="D26" s="436" t="s">
        <v>445</v>
      </c>
      <c r="E26" s="437">
        <v>12</v>
      </c>
      <c r="F26" s="436">
        <f>E26/2</f>
        <v>6</v>
      </c>
      <c r="G26" s="438">
        <v>0.1125</v>
      </c>
      <c r="H26" s="439">
        <f>E26*G26</f>
        <v>1.35</v>
      </c>
    </row>
  </sheetData>
  <mergeCells count="5">
    <mergeCell ref="B3:H3"/>
    <mergeCell ref="B10:H10"/>
    <mergeCell ref="B18:H18"/>
    <mergeCell ref="B24:H24"/>
    <mergeCell ref="B2:H2"/>
  </mergeCells>
  <printOptions horizontalCentered="1"/>
  <pageMargins left="0.51181102362204722" right="0.51181102362204722" top="1.1811023622047245" bottom="0.78740157480314965" header="0.31496062992125984" footer="0.31496062992125984"/>
  <pageSetup paperSize="9" scale="55" orientation="portrait" r:id="rId1"/>
  <headerFooter>
    <oddHeader>&amp;L&amp;G&amp;R&amp;G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DH205"/>
  <sheetViews>
    <sheetView showGridLines="0" view="pageBreakPreview" topLeftCell="AU2" zoomScale="70" zoomScaleNormal="85" zoomScaleSheetLayoutView="70" zoomScalePageLayoutView="70" workbookViewId="0">
      <selection activeCell="DB52" sqref="DB52"/>
    </sheetView>
  </sheetViews>
  <sheetFormatPr defaultRowHeight="16.5" customHeight="1" outlineLevelCol="2" x14ac:dyDescent="0.2"/>
  <cols>
    <col min="1" max="1" width="10.6640625" style="164" hidden="1" customWidth="1" outlineLevel="1"/>
    <col min="2" max="2" width="13.6640625" style="286" hidden="1" customWidth="1" outlineLevel="1"/>
    <col min="3" max="3" width="15" style="164" hidden="1" customWidth="1" outlineLevel="1"/>
    <col min="4" max="5" width="13.6640625" style="164" hidden="1" customWidth="1" outlineLevel="1"/>
    <col min="6" max="6" width="16.83203125" style="164" hidden="1" customWidth="1" outlineLevel="1"/>
    <col min="7" max="7" width="19.6640625" style="164" hidden="1" customWidth="1" outlineLevel="1"/>
    <col min="8" max="8" width="18.33203125" style="164" hidden="1" customWidth="1" outlineLevel="2"/>
    <col min="9" max="9" width="13.6640625" style="164" hidden="1" customWidth="1" outlineLevel="1" collapsed="1"/>
    <col min="10" max="12" width="13.6640625" style="164" hidden="1" customWidth="1" outlineLevel="1"/>
    <col min="13" max="15" width="13.6640625" style="164" hidden="1" customWidth="1" outlineLevel="2"/>
    <col min="16" max="16" width="19" style="167" hidden="1" customWidth="1" outlineLevel="1" collapsed="1"/>
    <col min="17" max="19" width="13.6640625" style="164" hidden="1" customWidth="1" outlineLevel="2"/>
    <col min="20" max="20" width="14.1640625" style="168" hidden="1" customWidth="1" outlineLevel="1" collapsed="1"/>
    <col min="21" max="21" width="13.6640625" style="168" hidden="1" customWidth="1" outlineLevel="1"/>
    <col min="22" max="22" width="12.33203125" style="168" hidden="1" customWidth="1" outlineLevel="1"/>
    <col min="23" max="23" width="14" style="168" hidden="1" customWidth="1" outlineLevel="1"/>
    <col min="24" max="24" width="13.6640625" style="169" hidden="1" customWidth="1" outlineLevel="1"/>
    <col min="25" max="25" width="13.6640625" style="170" hidden="1" customWidth="1" outlineLevel="2"/>
    <col min="26" max="26" width="13.6640625" style="168" hidden="1" customWidth="1" outlineLevel="1" collapsed="1"/>
    <col min="27" max="27" width="13.6640625" style="168" hidden="1" customWidth="1" outlineLevel="1"/>
    <col min="28" max="28" width="14.83203125" style="171" hidden="1" customWidth="1" outlineLevel="1"/>
    <col min="29" max="30" width="13.6640625" style="164" hidden="1" customWidth="1" outlineLevel="2"/>
    <col min="31" max="31" width="13.6640625" style="167" hidden="1" customWidth="1" outlineLevel="2"/>
    <col min="32" max="32" width="15.33203125" style="164" hidden="1" customWidth="1" outlineLevel="2"/>
    <col min="33" max="36" width="13.6640625" style="164" hidden="1" customWidth="1" outlineLevel="2"/>
    <col min="37" max="37" width="10.83203125" style="164" hidden="1" customWidth="1" outlineLevel="1"/>
    <col min="38" max="38" width="10.33203125" style="168" hidden="1" customWidth="1" outlineLevel="1"/>
    <col min="39" max="40" width="9.83203125" style="164" hidden="1" customWidth="1" outlineLevel="1"/>
    <col min="41" max="41" width="10.83203125" style="168" hidden="1" customWidth="1" outlineLevel="1"/>
    <col min="42" max="42" width="9.33203125" style="168" hidden="1" customWidth="1" outlineLevel="1"/>
    <col min="43" max="44" width="13.6640625" style="164" hidden="1" customWidth="1" outlineLevel="1"/>
    <col min="45" max="46" width="9.83203125" style="164" hidden="1" customWidth="1" outlineLevel="1"/>
    <col min="47" max="47" width="14.5" style="164" customWidth="1" collapsed="1"/>
    <col min="48" max="48" width="17.1640625" style="164" customWidth="1"/>
    <col min="49" max="49" width="18.1640625" style="164" customWidth="1"/>
    <col min="50" max="51" width="13.1640625" style="164" customWidth="1"/>
    <col min="52" max="58" width="10.6640625" style="164" customWidth="1"/>
    <col min="59" max="59" width="12.5" style="164" customWidth="1"/>
    <col min="60" max="63" width="10.6640625" style="164" customWidth="1"/>
    <col min="64" max="64" width="10.6640625" style="164" hidden="1" customWidth="1"/>
    <col min="65" max="65" width="10.6640625" style="164" customWidth="1"/>
    <col min="66" max="68" width="10.6640625" style="164" hidden="1" customWidth="1"/>
    <col min="69" max="69" width="12.33203125" style="164" customWidth="1"/>
    <col min="70" max="71" width="10.6640625" style="164" hidden="1" customWidth="1"/>
    <col min="72" max="72" width="13.33203125" style="164" hidden="1" customWidth="1"/>
    <col min="73" max="74" width="10.6640625" style="164" hidden="1" customWidth="1"/>
    <col min="75" max="75" width="13" style="164" hidden="1" customWidth="1"/>
    <col min="76" max="76" width="10.6640625" style="164" customWidth="1"/>
    <col min="77" max="77" width="10.6640625" style="164" hidden="1" customWidth="1"/>
    <col min="78" max="78" width="10.6640625" style="164" customWidth="1"/>
    <col min="79" max="79" width="10.6640625" style="164" hidden="1" customWidth="1"/>
    <col min="80" max="80" width="10.6640625" style="164" customWidth="1"/>
    <col min="81" max="83" width="10.6640625" style="164" hidden="1" customWidth="1"/>
    <col min="84" max="84" width="12.33203125" style="164" customWidth="1"/>
    <col min="85" max="85" width="10.6640625" style="164" hidden="1" customWidth="1"/>
    <col min="86" max="86" width="11.5" style="164" hidden="1" customWidth="1"/>
    <col min="87" max="87" width="10.6640625" style="164" customWidth="1"/>
    <col min="88" max="88" width="11.5" style="164" customWidth="1"/>
    <col min="89" max="89" width="16.1640625" style="164" hidden="1" customWidth="1"/>
    <col min="90" max="91" width="10.6640625" style="164" hidden="1" customWidth="1"/>
    <col min="92" max="92" width="12.6640625" style="172" hidden="1" customWidth="1"/>
    <col min="93" max="93" width="12.83203125" style="164" hidden="1" customWidth="1"/>
    <col min="94" max="94" width="10.6640625" style="164" hidden="1" customWidth="1"/>
    <col min="95" max="95" width="10.6640625" style="164" customWidth="1"/>
    <col min="96" max="98" width="10.6640625" style="164" hidden="1" customWidth="1"/>
    <col min="99" max="99" width="10.6640625" style="164" customWidth="1"/>
    <col min="100" max="104" width="10.6640625" style="164" hidden="1" customWidth="1"/>
    <col min="105" max="105" width="11.5" style="164" hidden="1" customWidth="1"/>
    <col min="106" max="108" width="10.6640625" style="164" customWidth="1"/>
    <col min="109" max="109" width="10.6640625" style="164" hidden="1" customWidth="1"/>
    <col min="110" max="110" width="10.6640625" style="164" customWidth="1"/>
    <col min="111" max="111" width="10.6640625" style="164" hidden="1" customWidth="1"/>
    <col min="112" max="112" width="13.6640625" style="164" hidden="1" customWidth="1"/>
    <col min="113" max="137" width="10.6640625" style="164" customWidth="1"/>
    <col min="138" max="227" width="9.33203125" style="164"/>
    <col min="228" max="228" width="13.5" style="164" customWidth="1"/>
    <col min="229" max="229" width="12.83203125" style="164" customWidth="1"/>
    <col min="230" max="230" width="11.1640625" style="164" customWidth="1"/>
    <col min="231" max="231" width="10.6640625" style="164" customWidth="1"/>
    <col min="232" max="232" width="8.5" style="164" customWidth="1"/>
    <col min="233" max="242" width="0" style="164" hidden="1" customWidth="1"/>
    <col min="243" max="243" width="12.5" style="164" customWidth="1"/>
    <col min="244" max="244" width="13.6640625" style="164" customWidth="1"/>
    <col min="245" max="248" width="0" style="164" hidden="1" customWidth="1"/>
    <col min="249" max="249" width="13.6640625" style="164" customWidth="1"/>
    <col min="250" max="250" width="12.5" style="164" customWidth="1"/>
    <col min="251" max="251" width="15.5" style="164" customWidth="1"/>
    <col min="252" max="252" width="13.6640625" style="164" customWidth="1"/>
    <col min="253" max="253" width="10.83203125" style="164" customWidth="1"/>
    <col min="254" max="254" width="10.33203125" style="164" customWidth="1"/>
    <col min="255" max="256" width="9.83203125" style="164" customWidth="1"/>
    <col min="257" max="257" width="10.83203125" style="164" customWidth="1"/>
    <col min="258" max="258" width="9.33203125" style="164" customWidth="1"/>
    <col min="259" max="261" width="9.83203125" style="164" customWidth="1"/>
    <col min="262" max="262" width="14.5" style="164" customWidth="1"/>
    <col min="263" max="263" width="18.1640625" style="164" customWidth="1"/>
    <col min="264" max="264" width="13.1640625" style="164" customWidth="1"/>
    <col min="265" max="265" width="13" style="164" customWidth="1"/>
    <col min="266" max="266" width="11" style="164" customWidth="1"/>
    <col min="267" max="271" width="0" style="164" hidden="1" customWidth="1"/>
    <col min="272" max="272" width="14.33203125" style="164" customWidth="1"/>
    <col min="273" max="275" width="0" style="164" hidden="1" customWidth="1"/>
    <col min="276" max="276" width="14.33203125" style="164" customWidth="1"/>
    <col min="277" max="279" width="0" style="164" hidden="1" customWidth="1"/>
    <col min="280" max="280" width="14.33203125" style="164" customWidth="1"/>
    <col min="281" max="283" width="0" style="164" hidden="1" customWidth="1"/>
    <col min="284" max="285" width="14.33203125" style="164" customWidth="1"/>
    <col min="286" max="286" width="14.1640625" style="164" customWidth="1"/>
    <col min="287" max="287" width="10.5" style="164" customWidth="1"/>
    <col min="288" max="288" width="10.1640625" style="164" customWidth="1"/>
    <col min="289" max="289" width="11.6640625" style="164" customWidth="1"/>
    <col min="290" max="290" width="9.83203125" style="164" customWidth="1"/>
    <col min="291" max="291" width="10.1640625" style="164" customWidth="1"/>
    <col min="292" max="292" width="9" style="164" customWidth="1"/>
    <col min="293" max="293" width="9.83203125" style="164" customWidth="1"/>
    <col min="294" max="294" width="9" style="164" customWidth="1"/>
    <col min="295" max="483" width="9.33203125" style="164"/>
    <col min="484" max="484" width="13.5" style="164" customWidth="1"/>
    <col min="485" max="485" width="12.83203125" style="164" customWidth="1"/>
    <col min="486" max="486" width="11.1640625" style="164" customWidth="1"/>
    <col min="487" max="487" width="10.6640625" style="164" customWidth="1"/>
    <col min="488" max="488" width="8.5" style="164" customWidth="1"/>
    <col min="489" max="498" width="0" style="164" hidden="1" customWidth="1"/>
    <col min="499" max="499" width="12.5" style="164" customWidth="1"/>
    <col min="500" max="500" width="13.6640625" style="164" customWidth="1"/>
    <col min="501" max="504" width="0" style="164" hidden="1" customWidth="1"/>
    <col min="505" max="505" width="13.6640625" style="164" customWidth="1"/>
    <col min="506" max="506" width="12.5" style="164" customWidth="1"/>
    <col min="507" max="507" width="15.5" style="164" customWidth="1"/>
    <col min="508" max="508" width="13.6640625" style="164" customWidth="1"/>
    <col min="509" max="509" width="10.83203125" style="164" customWidth="1"/>
    <col min="510" max="510" width="10.33203125" style="164" customWidth="1"/>
    <col min="511" max="512" width="9.83203125" style="164" customWidth="1"/>
    <col min="513" max="513" width="10.83203125" style="164" customWidth="1"/>
    <col min="514" max="514" width="9.33203125" style="164" customWidth="1"/>
    <col min="515" max="517" width="9.83203125" style="164" customWidth="1"/>
    <col min="518" max="518" width="14.5" style="164" customWidth="1"/>
    <col min="519" max="519" width="18.1640625" style="164" customWidth="1"/>
    <col min="520" max="520" width="13.1640625" style="164" customWidth="1"/>
    <col min="521" max="521" width="13" style="164" customWidth="1"/>
    <col min="522" max="522" width="11" style="164" customWidth="1"/>
    <col min="523" max="527" width="0" style="164" hidden="1" customWidth="1"/>
    <col min="528" max="528" width="14.33203125" style="164" customWidth="1"/>
    <col min="529" max="531" width="0" style="164" hidden="1" customWidth="1"/>
    <col min="532" max="532" width="14.33203125" style="164" customWidth="1"/>
    <col min="533" max="535" width="0" style="164" hidden="1" customWidth="1"/>
    <col min="536" max="536" width="14.33203125" style="164" customWidth="1"/>
    <col min="537" max="539" width="0" style="164" hidden="1" customWidth="1"/>
    <col min="540" max="541" width="14.33203125" style="164" customWidth="1"/>
    <col min="542" max="542" width="14.1640625" style="164" customWidth="1"/>
    <col min="543" max="543" width="10.5" style="164" customWidth="1"/>
    <col min="544" max="544" width="10.1640625" style="164" customWidth="1"/>
    <col min="545" max="545" width="11.6640625" style="164" customWidth="1"/>
    <col min="546" max="546" width="9.83203125" style="164" customWidth="1"/>
    <col min="547" max="547" width="10.1640625" style="164" customWidth="1"/>
    <col min="548" max="548" width="9" style="164" customWidth="1"/>
    <col min="549" max="549" width="9.83203125" style="164" customWidth="1"/>
    <col min="550" max="550" width="9" style="164" customWidth="1"/>
    <col min="551" max="739" width="9.33203125" style="164"/>
    <col min="740" max="740" width="13.5" style="164" customWidth="1"/>
    <col min="741" max="741" width="12.83203125" style="164" customWidth="1"/>
    <col min="742" max="742" width="11.1640625" style="164" customWidth="1"/>
    <col min="743" max="743" width="10.6640625" style="164" customWidth="1"/>
    <col min="744" max="744" width="8.5" style="164" customWidth="1"/>
    <col min="745" max="754" width="0" style="164" hidden="1" customWidth="1"/>
    <col min="755" max="755" width="12.5" style="164" customWidth="1"/>
    <col min="756" max="756" width="13.6640625" style="164" customWidth="1"/>
    <col min="757" max="760" width="0" style="164" hidden="1" customWidth="1"/>
    <col min="761" max="761" width="13.6640625" style="164" customWidth="1"/>
    <col min="762" max="762" width="12.5" style="164" customWidth="1"/>
    <col min="763" max="763" width="15.5" style="164" customWidth="1"/>
    <col min="764" max="764" width="13.6640625" style="164" customWidth="1"/>
    <col min="765" max="765" width="10.83203125" style="164" customWidth="1"/>
    <col min="766" max="766" width="10.33203125" style="164" customWidth="1"/>
    <col min="767" max="768" width="9.83203125" style="164" customWidth="1"/>
    <col min="769" max="769" width="10.83203125" style="164" customWidth="1"/>
    <col min="770" max="770" width="9.33203125" style="164" customWidth="1"/>
    <col min="771" max="773" width="9.83203125" style="164" customWidth="1"/>
    <col min="774" max="774" width="14.5" style="164" customWidth="1"/>
    <col min="775" max="775" width="18.1640625" style="164" customWidth="1"/>
    <col min="776" max="776" width="13.1640625" style="164" customWidth="1"/>
    <col min="777" max="777" width="13" style="164" customWidth="1"/>
    <col min="778" max="778" width="11" style="164" customWidth="1"/>
    <col min="779" max="783" width="0" style="164" hidden="1" customWidth="1"/>
    <col min="784" max="784" width="14.33203125" style="164" customWidth="1"/>
    <col min="785" max="787" width="0" style="164" hidden="1" customWidth="1"/>
    <col min="788" max="788" width="14.33203125" style="164" customWidth="1"/>
    <col min="789" max="791" width="0" style="164" hidden="1" customWidth="1"/>
    <col min="792" max="792" width="14.33203125" style="164" customWidth="1"/>
    <col min="793" max="795" width="0" style="164" hidden="1" customWidth="1"/>
    <col min="796" max="797" width="14.33203125" style="164" customWidth="1"/>
    <col min="798" max="798" width="14.1640625" style="164" customWidth="1"/>
    <col min="799" max="799" width="10.5" style="164" customWidth="1"/>
    <col min="800" max="800" width="10.1640625" style="164" customWidth="1"/>
    <col min="801" max="801" width="11.6640625" style="164" customWidth="1"/>
    <col min="802" max="802" width="9.83203125" style="164" customWidth="1"/>
    <col min="803" max="803" width="10.1640625" style="164" customWidth="1"/>
    <col min="804" max="804" width="9" style="164" customWidth="1"/>
    <col min="805" max="805" width="9.83203125" style="164" customWidth="1"/>
    <col min="806" max="806" width="9" style="164" customWidth="1"/>
    <col min="807" max="995" width="9.33203125" style="164"/>
    <col min="996" max="996" width="13.5" style="164" customWidth="1"/>
    <col min="997" max="997" width="12.83203125" style="164" customWidth="1"/>
    <col min="998" max="998" width="11.1640625" style="164" customWidth="1"/>
    <col min="999" max="999" width="10.6640625" style="164" customWidth="1"/>
    <col min="1000" max="1000" width="8.5" style="164" customWidth="1"/>
    <col min="1001" max="1010" width="0" style="164" hidden="1" customWidth="1"/>
    <col min="1011" max="1011" width="12.5" style="164" customWidth="1"/>
    <col min="1012" max="1012" width="13.6640625" style="164" customWidth="1"/>
    <col min="1013" max="1016" width="0" style="164" hidden="1" customWidth="1"/>
    <col min="1017" max="1017" width="13.6640625" style="164" customWidth="1"/>
    <col min="1018" max="1018" width="12.5" style="164" customWidth="1"/>
    <col min="1019" max="1019" width="15.5" style="164" customWidth="1"/>
    <col min="1020" max="1020" width="13.6640625" style="164" customWidth="1"/>
    <col min="1021" max="1021" width="10.83203125" style="164" customWidth="1"/>
    <col min="1022" max="1022" width="10.33203125" style="164" customWidth="1"/>
    <col min="1023" max="1024" width="9.83203125" style="164" customWidth="1"/>
    <col min="1025" max="1025" width="10.83203125" style="164" customWidth="1"/>
    <col min="1026" max="1026" width="9.33203125" style="164" customWidth="1"/>
    <col min="1027" max="1029" width="9.83203125" style="164" customWidth="1"/>
    <col min="1030" max="1030" width="14.5" style="164" customWidth="1"/>
    <col min="1031" max="1031" width="18.1640625" style="164" customWidth="1"/>
    <col min="1032" max="1032" width="13.1640625" style="164" customWidth="1"/>
    <col min="1033" max="1033" width="13" style="164" customWidth="1"/>
    <col min="1034" max="1034" width="11" style="164" customWidth="1"/>
    <col min="1035" max="1039" width="0" style="164" hidden="1" customWidth="1"/>
    <col min="1040" max="1040" width="14.33203125" style="164" customWidth="1"/>
    <col min="1041" max="1043" width="0" style="164" hidden="1" customWidth="1"/>
    <col min="1044" max="1044" width="14.33203125" style="164" customWidth="1"/>
    <col min="1045" max="1047" width="0" style="164" hidden="1" customWidth="1"/>
    <col min="1048" max="1048" width="14.33203125" style="164" customWidth="1"/>
    <col min="1049" max="1051" width="0" style="164" hidden="1" customWidth="1"/>
    <col min="1052" max="1053" width="14.33203125" style="164" customWidth="1"/>
    <col min="1054" max="1054" width="14.1640625" style="164" customWidth="1"/>
    <col min="1055" max="1055" width="10.5" style="164" customWidth="1"/>
    <col min="1056" max="1056" width="10.1640625" style="164" customWidth="1"/>
    <col min="1057" max="1057" width="11.6640625" style="164" customWidth="1"/>
    <col min="1058" max="1058" width="9.83203125" style="164" customWidth="1"/>
    <col min="1059" max="1059" width="10.1640625" style="164" customWidth="1"/>
    <col min="1060" max="1060" width="9" style="164" customWidth="1"/>
    <col min="1061" max="1061" width="9.83203125" style="164" customWidth="1"/>
    <col min="1062" max="1062" width="9" style="164" customWidth="1"/>
    <col min="1063" max="1251" width="9.33203125" style="164"/>
    <col min="1252" max="1252" width="13.5" style="164" customWidth="1"/>
    <col min="1253" max="1253" width="12.83203125" style="164" customWidth="1"/>
    <col min="1254" max="1254" width="11.1640625" style="164" customWidth="1"/>
    <col min="1255" max="1255" width="10.6640625" style="164" customWidth="1"/>
    <col min="1256" max="1256" width="8.5" style="164" customWidth="1"/>
    <col min="1257" max="1266" width="0" style="164" hidden="1" customWidth="1"/>
    <col min="1267" max="1267" width="12.5" style="164" customWidth="1"/>
    <col min="1268" max="1268" width="13.6640625" style="164" customWidth="1"/>
    <col min="1269" max="1272" width="0" style="164" hidden="1" customWidth="1"/>
    <col min="1273" max="1273" width="13.6640625" style="164" customWidth="1"/>
    <col min="1274" max="1274" width="12.5" style="164" customWidth="1"/>
    <col min="1275" max="1275" width="15.5" style="164" customWidth="1"/>
    <col min="1276" max="1276" width="13.6640625" style="164" customWidth="1"/>
    <col min="1277" max="1277" width="10.83203125" style="164" customWidth="1"/>
    <col min="1278" max="1278" width="10.33203125" style="164" customWidth="1"/>
    <col min="1279" max="1280" width="9.83203125" style="164" customWidth="1"/>
    <col min="1281" max="1281" width="10.83203125" style="164" customWidth="1"/>
    <col min="1282" max="1282" width="9.33203125" style="164" customWidth="1"/>
    <col min="1283" max="1285" width="9.83203125" style="164" customWidth="1"/>
    <col min="1286" max="1286" width="14.5" style="164" customWidth="1"/>
    <col min="1287" max="1287" width="18.1640625" style="164" customWidth="1"/>
    <col min="1288" max="1288" width="13.1640625" style="164" customWidth="1"/>
    <col min="1289" max="1289" width="13" style="164" customWidth="1"/>
    <col min="1290" max="1290" width="11" style="164" customWidth="1"/>
    <col min="1291" max="1295" width="0" style="164" hidden="1" customWidth="1"/>
    <col min="1296" max="1296" width="14.33203125" style="164" customWidth="1"/>
    <col min="1297" max="1299" width="0" style="164" hidden="1" customWidth="1"/>
    <col min="1300" max="1300" width="14.33203125" style="164" customWidth="1"/>
    <col min="1301" max="1303" width="0" style="164" hidden="1" customWidth="1"/>
    <col min="1304" max="1304" width="14.33203125" style="164" customWidth="1"/>
    <col min="1305" max="1307" width="0" style="164" hidden="1" customWidth="1"/>
    <col min="1308" max="1309" width="14.33203125" style="164" customWidth="1"/>
    <col min="1310" max="1310" width="14.1640625" style="164" customWidth="1"/>
    <col min="1311" max="1311" width="10.5" style="164" customWidth="1"/>
    <col min="1312" max="1312" width="10.1640625" style="164" customWidth="1"/>
    <col min="1313" max="1313" width="11.6640625" style="164" customWidth="1"/>
    <col min="1314" max="1314" width="9.83203125" style="164" customWidth="1"/>
    <col min="1315" max="1315" width="10.1640625" style="164" customWidth="1"/>
    <col min="1316" max="1316" width="9" style="164" customWidth="1"/>
    <col min="1317" max="1317" width="9.83203125" style="164" customWidth="1"/>
    <col min="1318" max="1318" width="9" style="164" customWidth="1"/>
    <col min="1319" max="1507" width="9.33203125" style="164"/>
    <col min="1508" max="1508" width="13.5" style="164" customWidth="1"/>
    <col min="1509" max="1509" width="12.83203125" style="164" customWidth="1"/>
    <col min="1510" max="1510" width="11.1640625" style="164" customWidth="1"/>
    <col min="1511" max="1511" width="10.6640625" style="164" customWidth="1"/>
    <col min="1512" max="1512" width="8.5" style="164" customWidth="1"/>
    <col min="1513" max="1522" width="0" style="164" hidden="1" customWidth="1"/>
    <col min="1523" max="1523" width="12.5" style="164" customWidth="1"/>
    <col min="1524" max="1524" width="13.6640625" style="164" customWidth="1"/>
    <col min="1525" max="1528" width="0" style="164" hidden="1" customWidth="1"/>
    <col min="1529" max="1529" width="13.6640625" style="164" customWidth="1"/>
    <col min="1530" max="1530" width="12.5" style="164" customWidth="1"/>
    <col min="1531" max="1531" width="15.5" style="164" customWidth="1"/>
    <col min="1532" max="1532" width="13.6640625" style="164" customWidth="1"/>
    <col min="1533" max="1533" width="10.83203125" style="164" customWidth="1"/>
    <col min="1534" max="1534" width="10.33203125" style="164" customWidth="1"/>
    <col min="1535" max="1536" width="9.83203125" style="164" customWidth="1"/>
    <col min="1537" max="1537" width="10.83203125" style="164" customWidth="1"/>
    <col min="1538" max="1538" width="9.33203125" style="164" customWidth="1"/>
    <col min="1539" max="1541" width="9.83203125" style="164" customWidth="1"/>
    <col min="1542" max="1542" width="14.5" style="164" customWidth="1"/>
    <col min="1543" max="1543" width="18.1640625" style="164" customWidth="1"/>
    <col min="1544" max="1544" width="13.1640625" style="164" customWidth="1"/>
    <col min="1545" max="1545" width="13" style="164" customWidth="1"/>
    <col min="1546" max="1546" width="11" style="164" customWidth="1"/>
    <col min="1547" max="1551" width="0" style="164" hidden="1" customWidth="1"/>
    <col min="1552" max="1552" width="14.33203125" style="164" customWidth="1"/>
    <col min="1553" max="1555" width="0" style="164" hidden="1" customWidth="1"/>
    <col min="1556" max="1556" width="14.33203125" style="164" customWidth="1"/>
    <col min="1557" max="1559" width="0" style="164" hidden="1" customWidth="1"/>
    <col min="1560" max="1560" width="14.33203125" style="164" customWidth="1"/>
    <col min="1561" max="1563" width="0" style="164" hidden="1" customWidth="1"/>
    <col min="1564" max="1565" width="14.33203125" style="164" customWidth="1"/>
    <col min="1566" max="1566" width="14.1640625" style="164" customWidth="1"/>
    <col min="1567" max="1567" width="10.5" style="164" customWidth="1"/>
    <col min="1568" max="1568" width="10.1640625" style="164" customWidth="1"/>
    <col min="1569" max="1569" width="11.6640625" style="164" customWidth="1"/>
    <col min="1570" max="1570" width="9.83203125" style="164" customWidth="1"/>
    <col min="1571" max="1571" width="10.1640625" style="164" customWidth="1"/>
    <col min="1572" max="1572" width="9" style="164" customWidth="1"/>
    <col min="1573" max="1573" width="9.83203125" style="164" customWidth="1"/>
    <col min="1574" max="1574" width="9" style="164" customWidth="1"/>
    <col min="1575" max="1763" width="9.33203125" style="164"/>
    <col min="1764" max="1764" width="13.5" style="164" customWidth="1"/>
    <col min="1765" max="1765" width="12.83203125" style="164" customWidth="1"/>
    <col min="1766" max="1766" width="11.1640625" style="164" customWidth="1"/>
    <col min="1767" max="1767" width="10.6640625" style="164" customWidth="1"/>
    <col min="1768" max="1768" width="8.5" style="164" customWidth="1"/>
    <col min="1769" max="1778" width="0" style="164" hidden="1" customWidth="1"/>
    <col min="1779" max="1779" width="12.5" style="164" customWidth="1"/>
    <col min="1780" max="1780" width="13.6640625" style="164" customWidth="1"/>
    <col min="1781" max="1784" width="0" style="164" hidden="1" customWidth="1"/>
    <col min="1785" max="1785" width="13.6640625" style="164" customWidth="1"/>
    <col min="1786" max="1786" width="12.5" style="164" customWidth="1"/>
    <col min="1787" max="1787" width="15.5" style="164" customWidth="1"/>
    <col min="1788" max="1788" width="13.6640625" style="164" customWidth="1"/>
    <col min="1789" max="1789" width="10.83203125" style="164" customWidth="1"/>
    <col min="1790" max="1790" width="10.33203125" style="164" customWidth="1"/>
    <col min="1791" max="1792" width="9.83203125" style="164" customWidth="1"/>
    <col min="1793" max="1793" width="10.83203125" style="164" customWidth="1"/>
    <col min="1794" max="1794" width="9.33203125" style="164" customWidth="1"/>
    <col min="1795" max="1797" width="9.83203125" style="164" customWidth="1"/>
    <col min="1798" max="1798" width="14.5" style="164" customWidth="1"/>
    <col min="1799" max="1799" width="18.1640625" style="164" customWidth="1"/>
    <col min="1800" max="1800" width="13.1640625" style="164" customWidth="1"/>
    <col min="1801" max="1801" width="13" style="164" customWidth="1"/>
    <col min="1802" max="1802" width="11" style="164" customWidth="1"/>
    <col min="1803" max="1807" width="0" style="164" hidden="1" customWidth="1"/>
    <col min="1808" max="1808" width="14.33203125" style="164" customWidth="1"/>
    <col min="1809" max="1811" width="0" style="164" hidden="1" customWidth="1"/>
    <col min="1812" max="1812" width="14.33203125" style="164" customWidth="1"/>
    <col min="1813" max="1815" width="0" style="164" hidden="1" customWidth="1"/>
    <col min="1816" max="1816" width="14.33203125" style="164" customWidth="1"/>
    <col min="1817" max="1819" width="0" style="164" hidden="1" customWidth="1"/>
    <col min="1820" max="1821" width="14.33203125" style="164" customWidth="1"/>
    <col min="1822" max="1822" width="14.1640625" style="164" customWidth="1"/>
    <col min="1823" max="1823" width="10.5" style="164" customWidth="1"/>
    <col min="1824" max="1824" width="10.1640625" style="164" customWidth="1"/>
    <col min="1825" max="1825" width="11.6640625" style="164" customWidth="1"/>
    <col min="1826" max="1826" width="9.83203125" style="164" customWidth="1"/>
    <col min="1827" max="1827" width="10.1640625" style="164" customWidth="1"/>
    <col min="1828" max="1828" width="9" style="164" customWidth="1"/>
    <col min="1829" max="1829" width="9.83203125" style="164" customWidth="1"/>
    <col min="1830" max="1830" width="9" style="164" customWidth="1"/>
    <col min="1831" max="2019" width="9.33203125" style="164"/>
    <col min="2020" max="2020" width="13.5" style="164" customWidth="1"/>
    <col min="2021" max="2021" width="12.83203125" style="164" customWidth="1"/>
    <col min="2022" max="2022" width="11.1640625" style="164" customWidth="1"/>
    <col min="2023" max="2023" width="10.6640625" style="164" customWidth="1"/>
    <col min="2024" max="2024" width="8.5" style="164" customWidth="1"/>
    <col min="2025" max="2034" width="0" style="164" hidden="1" customWidth="1"/>
    <col min="2035" max="2035" width="12.5" style="164" customWidth="1"/>
    <col min="2036" max="2036" width="13.6640625" style="164" customWidth="1"/>
    <col min="2037" max="2040" width="0" style="164" hidden="1" customWidth="1"/>
    <col min="2041" max="2041" width="13.6640625" style="164" customWidth="1"/>
    <col min="2042" max="2042" width="12.5" style="164" customWidth="1"/>
    <col min="2043" max="2043" width="15.5" style="164" customWidth="1"/>
    <col min="2044" max="2044" width="13.6640625" style="164" customWidth="1"/>
    <col min="2045" max="2045" width="10.83203125" style="164" customWidth="1"/>
    <col min="2046" max="2046" width="10.33203125" style="164" customWidth="1"/>
    <col min="2047" max="2048" width="9.83203125" style="164" customWidth="1"/>
    <col min="2049" max="2049" width="10.83203125" style="164" customWidth="1"/>
    <col min="2050" max="2050" width="9.33203125" style="164" customWidth="1"/>
    <col min="2051" max="2053" width="9.83203125" style="164" customWidth="1"/>
    <col min="2054" max="2054" width="14.5" style="164" customWidth="1"/>
    <col min="2055" max="2055" width="18.1640625" style="164" customWidth="1"/>
    <col min="2056" max="2056" width="13.1640625" style="164" customWidth="1"/>
    <col min="2057" max="2057" width="13" style="164" customWidth="1"/>
    <col min="2058" max="2058" width="11" style="164" customWidth="1"/>
    <col min="2059" max="2063" width="0" style="164" hidden="1" customWidth="1"/>
    <col min="2064" max="2064" width="14.33203125" style="164" customWidth="1"/>
    <col min="2065" max="2067" width="0" style="164" hidden="1" customWidth="1"/>
    <col min="2068" max="2068" width="14.33203125" style="164" customWidth="1"/>
    <col min="2069" max="2071" width="0" style="164" hidden="1" customWidth="1"/>
    <col min="2072" max="2072" width="14.33203125" style="164" customWidth="1"/>
    <col min="2073" max="2075" width="0" style="164" hidden="1" customWidth="1"/>
    <col min="2076" max="2077" width="14.33203125" style="164" customWidth="1"/>
    <col min="2078" max="2078" width="14.1640625" style="164" customWidth="1"/>
    <col min="2079" max="2079" width="10.5" style="164" customWidth="1"/>
    <col min="2080" max="2080" width="10.1640625" style="164" customWidth="1"/>
    <col min="2081" max="2081" width="11.6640625" style="164" customWidth="1"/>
    <col min="2082" max="2082" width="9.83203125" style="164" customWidth="1"/>
    <col min="2083" max="2083" width="10.1640625" style="164" customWidth="1"/>
    <col min="2084" max="2084" width="9" style="164" customWidth="1"/>
    <col min="2085" max="2085" width="9.83203125" style="164" customWidth="1"/>
    <col min="2086" max="2086" width="9" style="164" customWidth="1"/>
    <col min="2087" max="2275" width="9.33203125" style="164"/>
    <col min="2276" max="2276" width="13.5" style="164" customWidth="1"/>
    <col min="2277" max="2277" width="12.83203125" style="164" customWidth="1"/>
    <col min="2278" max="2278" width="11.1640625" style="164" customWidth="1"/>
    <col min="2279" max="2279" width="10.6640625" style="164" customWidth="1"/>
    <col min="2280" max="2280" width="8.5" style="164" customWidth="1"/>
    <col min="2281" max="2290" width="0" style="164" hidden="1" customWidth="1"/>
    <col min="2291" max="2291" width="12.5" style="164" customWidth="1"/>
    <col min="2292" max="2292" width="13.6640625" style="164" customWidth="1"/>
    <col min="2293" max="2296" width="0" style="164" hidden="1" customWidth="1"/>
    <col min="2297" max="2297" width="13.6640625" style="164" customWidth="1"/>
    <col min="2298" max="2298" width="12.5" style="164" customWidth="1"/>
    <col min="2299" max="2299" width="15.5" style="164" customWidth="1"/>
    <col min="2300" max="2300" width="13.6640625" style="164" customWidth="1"/>
    <col min="2301" max="2301" width="10.83203125" style="164" customWidth="1"/>
    <col min="2302" max="2302" width="10.33203125" style="164" customWidth="1"/>
    <col min="2303" max="2304" width="9.83203125" style="164" customWidth="1"/>
    <col min="2305" max="2305" width="10.83203125" style="164" customWidth="1"/>
    <col min="2306" max="2306" width="9.33203125" style="164" customWidth="1"/>
    <col min="2307" max="2309" width="9.83203125" style="164" customWidth="1"/>
    <col min="2310" max="2310" width="14.5" style="164" customWidth="1"/>
    <col min="2311" max="2311" width="18.1640625" style="164" customWidth="1"/>
    <col min="2312" max="2312" width="13.1640625" style="164" customWidth="1"/>
    <col min="2313" max="2313" width="13" style="164" customWidth="1"/>
    <col min="2314" max="2314" width="11" style="164" customWidth="1"/>
    <col min="2315" max="2319" width="0" style="164" hidden="1" customWidth="1"/>
    <col min="2320" max="2320" width="14.33203125" style="164" customWidth="1"/>
    <col min="2321" max="2323" width="0" style="164" hidden="1" customWidth="1"/>
    <col min="2324" max="2324" width="14.33203125" style="164" customWidth="1"/>
    <col min="2325" max="2327" width="0" style="164" hidden="1" customWidth="1"/>
    <col min="2328" max="2328" width="14.33203125" style="164" customWidth="1"/>
    <col min="2329" max="2331" width="0" style="164" hidden="1" customWidth="1"/>
    <col min="2332" max="2333" width="14.33203125" style="164" customWidth="1"/>
    <col min="2334" max="2334" width="14.1640625" style="164" customWidth="1"/>
    <col min="2335" max="2335" width="10.5" style="164" customWidth="1"/>
    <col min="2336" max="2336" width="10.1640625" style="164" customWidth="1"/>
    <col min="2337" max="2337" width="11.6640625" style="164" customWidth="1"/>
    <col min="2338" max="2338" width="9.83203125" style="164" customWidth="1"/>
    <col min="2339" max="2339" width="10.1640625" style="164" customWidth="1"/>
    <col min="2340" max="2340" width="9" style="164" customWidth="1"/>
    <col min="2341" max="2341" width="9.83203125" style="164" customWidth="1"/>
    <col min="2342" max="2342" width="9" style="164" customWidth="1"/>
    <col min="2343" max="2531" width="9.33203125" style="164"/>
    <col min="2532" max="2532" width="13.5" style="164" customWidth="1"/>
    <col min="2533" max="2533" width="12.83203125" style="164" customWidth="1"/>
    <col min="2534" max="2534" width="11.1640625" style="164" customWidth="1"/>
    <col min="2535" max="2535" width="10.6640625" style="164" customWidth="1"/>
    <col min="2536" max="2536" width="8.5" style="164" customWidth="1"/>
    <col min="2537" max="2546" width="0" style="164" hidden="1" customWidth="1"/>
    <col min="2547" max="2547" width="12.5" style="164" customWidth="1"/>
    <col min="2548" max="2548" width="13.6640625" style="164" customWidth="1"/>
    <col min="2549" max="2552" width="0" style="164" hidden="1" customWidth="1"/>
    <col min="2553" max="2553" width="13.6640625" style="164" customWidth="1"/>
    <col min="2554" max="2554" width="12.5" style="164" customWidth="1"/>
    <col min="2555" max="2555" width="15.5" style="164" customWidth="1"/>
    <col min="2556" max="2556" width="13.6640625" style="164" customWidth="1"/>
    <col min="2557" max="2557" width="10.83203125" style="164" customWidth="1"/>
    <col min="2558" max="2558" width="10.33203125" style="164" customWidth="1"/>
    <col min="2559" max="2560" width="9.83203125" style="164" customWidth="1"/>
    <col min="2561" max="2561" width="10.83203125" style="164" customWidth="1"/>
    <col min="2562" max="2562" width="9.33203125" style="164" customWidth="1"/>
    <col min="2563" max="2565" width="9.83203125" style="164" customWidth="1"/>
    <col min="2566" max="2566" width="14.5" style="164" customWidth="1"/>
    <col min="2567" max="2567" width="18.1640625" style="164" customWidth="1"/>
    <col min="2568" max="2568" width="13.1640625" style="164" customWidth="1"/>
    <col min="2569" max="2569" width="13" style="164" customWidth="1"/>
    <col min="2570" max="2570" width="11" style="164" customWidth="1"/>
    <col min="2571" max="2575" width="0" style="164" hidden="1" customWidth="1"/>
    <col min="2576" max="2576" width="14.33203125" style="164" customWidth="1"/>
    <col min="2577" max="2579" width="0" style="164" hidden="1" customWidth="1"/>
    <col min="2580" max="2580" width="14.33203125" style="164" customWidth="1"/>
    <col min="2581" max="2583" width="0" style="164" hidden="1" customWidth="1"/>
    <col min="2584" max="2584" width="14.33203125" style="164" customWidth="1"/>
    <col min="2585" max="2587" width="0" style="164" hidden="1" customWidth="1"/>
    <col min="2588" max="2589" width="14.33203125" style="164" customWidth="1"/>
    <col min="2590" max="2590" width="14.1640625" style="164" customWidth="1"/>
    <col min="2591" max="2591" width="10.5" style="164" customWidth="1"/>
    <col min="2592" max="2592" width="10.1640625" style="164" customWidth="1"/>
    <col min="2593" max="2593" width="11.6640625" style="164" customWidth="1"/>
    <col min="2594" max="2594" width="9.83203125" style="164" customWidth="1"/>
    <col min="2595" max="2595" width="10.1640625" style="164" customWidth="1"/>
    <col min="2596" max="2596" width="9" style="164" customWidth="1"/>
    <col min="2597" max="2597" width="9.83203125" style="164" customWidth="1"/>
    <col min="2598" max="2598" width="9" style="164" customWidth="1"/>
    <col min="2599" max="2787" width="9.33203125" style="164"/>
    <col min="2788" max="2788" width="13.5" style="164" customWidth="1"/>
    <col min="2789" max="2789" width="12.83203125" style="164" customWidth="1"/>
    <col min="2790" max="2790" width="11.1640625" style="164" customWidth="1"/>
    <col min="2791" max="2791" width="10.6640625" style="164" customWidth="1"/>
    <col min="2792" max="2792" width="8.5" style="164" customWidth="1"/>
    <col min="2793" max="2802" width="0" style="164" hidden="1" customWidth="1"/>
    <col min="2803" max="2803" width="12.5" style="164" customWidth="1"/>
    <col min="2804" max="2804" width="13.6640625" style="164" customWidth="1"/>
    <col min="2805" max="2808" width="0" style="164" hidden="1" customWidth="1"/>
    <col min="2809" max="2809" width="13.6640625" style="164" customWidth="1"/>
    <col min="2810" max="2810" width="12.5" style="164" customWidth="1"/>
    <col min="2811" max="2811" width="15.5" style="164" customWidth="1"/>
    <col min="2812" max="2812" width="13.6640625" style="164" customWidth="1"/>
    <col min="2813" max="2813" width="10.83203125" style="164" customWidth="1"/>
    <col min="2814" max="2814" width="10.33203125" style="164" customWidth="1"/>
    <col min="2815" max="2816" width="9.83203125" style="164" customWidth="1"/>
    <col min="2817" max="2817" width="10.83203125" style="164" customWidth="1"/>
    <col min="2818" max="2818" width="9.33203125" style="164" customWidth="1"/>
    <col min="2819" max="2821" width="9.83203125" style="164" customWidth="1"/>
    <col min="2822" max="2822" width="14.5" style="164" customWidth="1"/>
    <col min="2823" max="2823" width="18.1640625" style="164" customWidth="1"/>
    <col min="2824" max="2824" width="13.1640625" style="164" customWidth="1"/>
    <col min="2825" max="2825" width="13" style="164" customWidth="1"/>
    <col min="2826" max="2826" width="11" style="164" customWidth="1"/>
    <col min="2827" max="2831" width="0" style="164" hidden="1" customWidth="1"/>
    <col min="2832" max="2832" width="14.33203125" style="164" customWidth="1"/>
    <col min="2833" max="2835" width="0" style="164" hidden="1" customWidth="1"/>
    <col min="2836" max="2836" width="14.33203125" style="164" customWidth="1"/>
    <col min="2837" max="2839" width="0" style="164" hidden="1" customWidth="1"/>
    <col min="2840" max="2840" width="14.33203125" style="164" customWidth="1"/>
    <col min="2841" max="2843" width="0" style="164" hidden="1" customWidth="1"/>
    <col min="2844" max="2845" width="14.33203125" style="164" customWidth="1"/>
    <col min="2846" max="2846" width="14.1640625" style="164" customWidth="1"/>
    <col min="2847" max="2847" width="10.5" style="164" customWidth="1"/>
    <col min="2848" max="2848" width="10.1640625" style="164" customWidth="1"/>
    <col min="2849" max="2849" width="11.6640625" style="164" customWidth="1"/>
    <col min="2850" max="2850" width="9.83203125" style="164" customWidth="1"/>
    <col min="2851" max="2851" width="10.1640625" style="164" customWidth="1"/>
    <col min="2852" max="2852" width="9" style="164" customWidth="1"/>
    <col min="2853" max="2853" width="9.83203125" style="164" customWidth="1"/>
    <col min="2854" max="2854" width="9" style="164" customWidth="1"/>
    <col min="2855" max="3043" width="9.33203125" style="164"/>
    <col min="3044" max="3044" width="13.5" style="164" customWidth="1"/>
    <col min="3045" max="3045" width="12.83203125" style="164" customWidth="1"/>
    <col min="3046" max="3046" width="11.1640625" style="164" customWidth="1"/>
    <col min="3047" max="3047" width="10.6640625" style="164" customWidth="1"/>
    <col min="3048" max="3048" width="8.5" style="164" customWidth="1"/>
    <col min="3049" max="3058" width="0" style="164" hidden="1" customWidth="1"/>
    <col min="3059" max="3059" width="12.5" style="164" customWidth="1"/>
    <col min="3060" max="3060" width="13.6640625" style="164" customWidth="1"/>
    <col min="3061" max="3064" width="0" style="164" hidden="1" customWidth="1"/>
    <col min="3065" max="3065" width="13.6640625" style="164" customWidth="1"/>
    <col min="3066" max="3066" width="12.5" style="164" customWidth="1"/>
    <col min="3067" max="3067" width="15.5" style="164" customWidth="1"/>
    <col min="3068" max="3068" width="13.6640625" style="164" customWidth="1"/>
    <col min="3069" max="3069" width="10.83203125" style="164" customWidth="1"/>
    <col min="3070" max="3070" width="10.33203125" style="164" customWidth="1"/>
    <col min="3071" max="3072" width="9.83203125" style="164" customWidth="1"/>
    <col min="3073" max="3073" width="10.83203125" style="164" customWidth="1"/>
    <col min="3074" max="3074" width="9.33203125" style="164" customWidth="1"/>
    <col min="3075" max="3077" width="9.83203125" style="164" customWidth="1"/>
    <col min="3078" max="3078" width="14.5" style="164" customWidth="1"/>
    <col min="3079" max="3079" width="18.1640625" style="164" customWidth="1"/>
    <col min="3080" max="3080" width="13.1640625" style="164" customWidth="1"/>
    <col min="3081" max="3081" width="13" style="164" customWidth="1"/>
    <col min="3082" max="3082" width="11" style="164" customWidth="1"/>
    <col min="3083" max="3087" width="0" style="164" hidden="1" customWidth="1"/>
    <col min="3088" max="3088" width="14.33203125" style="164" customWidth="1"/>
    <col min="3089" max="3091" width="0" style="164" hidden="1" customWidth="1"/>
    <col min="3092" max="3092" width="14.33203125" style="164" customWidth="1"/>
    <col min="3093" max="3095" width="0" style="164" hidden="1" customWidth="1"/>
    <col min="3096" max="3096" width="14.33203125" style="164" customWidth="1"/>
    <col min="3097" max="3099" width="0" style="164" hidden="1" customWidth="1"/>
    <col min="3100" max="3101" width="14.33203125" style="164" customWidth="1"/>
    <col min="3102" max="3102" width="14.1640625" style="164" customWidth="1"/>
    <col min="3103" max="3103" width="10.5" style="164" customWidth="1"/>
    <col min="3104" max="3104" width="10.1640625" style="164" customWidth="1"/>
    <col min="3105" max="3105" width="11.6640625" style="164" customWidth="1"/>
    <col min="3106" max="3106" width="9.83203125" style="164" customWidth="1"/>
    <col min="3107" max="3107" width="10.1640625" style="164" customWidth="1"/>
    <col min="3108" max="3108" width="9" style="164" customWidth="1"/>
    <col min="3109" max="3109" width="9.83203125" style="164" customWidth="1"/>
    <col min="3110" max="3110" width="9" style="164" customWidth="1"/>
    <col min="3111" max="3299" width="9.33203125" style="164"/>
    <col min="3300" max="3300" width="13.5" style="164" customWidth="1"/>
    <col min="3301" max="3301" width="12.83203125" style="164" customWidth="1"/>
    <col min="3302" max="3302" width="11.1640625" style="164" customWidth="1"/>
    <col min="3303" max="3303" width="10.6640625" style="164" customWidth="1"/>
    <col min="3304" max="3304" width="8.5" style="164" customWidth="1"/>
    <col min="3305" max="3314" width="0" style="164" hidden="1" customWidth="1"/>
    <col min="3315" max="3315" width="12.5" style="164" customWidth="1"/>
    <col min="3316" max="3316" width="13.6640625" style="164" customWidth="1"/>
    <col min="3317" max="3320" width="0" style="164" hidden="1" customWidth="1"/>
    <col min="3321" max="3321" width="13.6640625" style="164" customWidth="1"/>
    <col min="3322" max="3322" width="12.5" style="164" customWidth="1"/>
    <col min="3323" max="3323" width="15.5" style="164" customWidth="1"/>
    <col min="3324" max="3324" width="13.6640625" style="164" customWidth="1"/>
    <col min="3325" max="3325" width="10.83203125" style="164" customWidth="1"/>
    <col min="3326" max="3326" width="10.33203125" style="164" customWidth="1"/>
    <col min="3327" max="3328" width="9.83203125" style="164" customWidth="1"/>
    <col min="3329" max="3329" width="10.83203125" style="164" customWidth="1"/>
    <col min="3330" max="3330" width="9.33203125" style="164" customWidth="1"/>
    <col min="3331" max="3333" width="9.83203125" style="164" customWidth="1"/>
    <col min="3334" max="3334" width="14.5" style="164" customWidth="1"/>
    <col min="3335" max="3335" width="18.1640625" style="164" customWidth="1"/>
    <col min="3336" max="3336" width="13.1640625" style="164" customWidth="1"/>
    <col min="3337" max="3337" width="13" style="164" customWidth="1"/>
    <col min="3338" max="3338" width="11" style="164" customWidth="1"/>
    <col min="3339" max="3343" width="0" style="164" hidden="1" customWidth="1"/>
    <col min="3344" max="3344" width="14.33203125" style="164" customWidth="1"/>
    <col min="3345" max="3347" width="0" style="164" hidden="1" customWidth="1"/>
    <col min="3348" max="3348" width="14.33203125" style="164" customWidth="1"/>
    <col min="3349" max="3351" width="0" style="164" hidden="1" customWidth="1"/>
    <col min="3352" max="3352" width="14.33203125" style="164" customWidth="1"/>
    <col min="3353" max="3355" width="0" style="164" hidden="1" customWidth="1"/>
    <col min="3356" max="3357" width="14.33203125" style="164" customWidth="1"/>
    <col min="3358" max="3358" width="14.1640625" style="164" customWidth="1"/>
    <col min="3359" max="3359" width="10.5" style="164" customWidth="1"/>
    <col min="3360" max="3360" width="10.1640625" style="164" customWidth="1"/>
    <col min="3361" max="3361" width="11.6640625" style="164" customWidth="1"/>
    <col min="3362" max="3362" width="9.83203125" style="164" customWidth="1"/>
    <col min="3363" max="3363" width="10.1640625" style="164" customWidth="1"/>
    <col min="3364" max="3364" width="9" style="164" customWidth="1"/>
    <col min="3365" max="3365" width="9.83203125" style="164" customWidth="1"/>
    <col min="3366" max="3366" width="9" style="164" customWidth="1"/>
    <col min="3367" max="3555" width="9.33203125" style="164"/>
    <col min="3556" max="3556" width="13.5" style="164" customWidth="1"/>
    <col min="3557" max="3557" width="12.83203125" style="164" customWidth="1"/>
    <col min="3558" max="3558" width="11.1640625" style="164" customWidth="1"/>
    <col min="3559" max="3559" width="10.6640625" style="164" customWidth="1"/>
    <col min="3560" max="3560" width="8.5" style="164" customWidth="1"/>
    <col min="3561" max="3570" width="0" style="164" hidden="1" customWidth="1"/>
    <col min="3571" max="3571" width="12.5" style="164" customWidth="1"/>
    <col min="3572" max="3572" width="13.6640625" style="164" customWidth="1"/>
    <col min="3573" max="3576" width="0" style="164" hidden="1" customWidth="1"/>
    <col min="3577" max="3577" width="13.6640625" style="164" customWidth="1"/>
    <col min="3578" max="3578" width="12.5" style="164" customWidth="1"/>
    <col min="3579" max="3579" width="15.5" style="164" customWidth="1"/>
    <col min="3580" max="3580" width="13.6640625" style="164" customWidth="1"/>
    <col min="3581" max="3581" width="10.83203125" style="164" customWidth="1"/>
    <col min="3582" max="3582" width="10.33203125" style="164" customWidth="1"/>
    <col min="3583" max="3584" width="9.83203125" style="164" customWidth="1"/>
    <col min="3585" max="3585" width="10.83203125" style="164" customWidth="1"/>
    <col min="3586" max="3586" width="9.33203125" style="164" customWidth="1"/>
    <col min="3587" max="3589" width="9.83203125" style="164" customWidth="1"/>
    <col min="3590" max="3590" width="14.5" style="164" customWidth="1"/>
    <col min="3591" max="3591" width="18.1640625" style="164" customWidth="1"/>
    <col min="3592" max="3592" width="13.1640625" style="164" customWidth="1"/>
    <col min="3593" max="3593" width="13" style="164" customWidth="1"/>
    <col min="3594" max="3594" width="11" style="164" customWidth="1"/>
    <col min="3595" max="3599" width="0" style="164" hidden="1" customWidth="1"/>
    <col min="3600" max="3600" width="14.33203125" style="164" customWidth="1"/>
    <col min="3601" max="3603" width="0" style="164" hidden="1" customWidth="1"/>
    <col min="3604" max="3604" width="14.33203125" style="164" customWidth="1"/>
    <col min="3605" max="3607" width="0" style="164" hidden="1" customWidth="1"/>
    <col min="3608" max="3608" width="14.33203125" style="164" customWidth="1"/>
    <col min="3609" max="3611" width="0" style="164" hidden="1" customWidth="1"/>
    <col min="3612" max="3613" width="14.33203125" style="164" customWidth="1"/>
    <col min="3614" max="3614" width="14.1640625" style="164" customWidth="1"/>
    <col min="3615" max="3615" width="10.5" style="164" customWidth="1"/>
    <col min="3616" max="3616" width="10.1640625" style="164" customWidth="1"/>
    <col min="3617" max="3617" width="11.6640625" style="164" customWidth="1"/>
    <col min="3618" max="3618" width="9.83203125" style="164" customWidth="1"/>
    <col min="3619" max="3619" width="10.1640625" style="164" customWidth="1"/>
    <col min="3620" max="3620" width="9" style="164" customWidth="1"/>
    <col min="3621" max="3621" width="9.83203125" style="164" customWidth="1"/>
    <col min="3622" max="3622" width="9" style="164" customWidth="1"/>
    <col min="3623" max="3811" width="9.33203125" style="164"/>
    <col min="3812" max="3812" width="13.5" style="164" customWidth="1"/>
    <col min="3813" max="3813" width="12.83203125" style="164" customWidth="1"/>
    <col min="3814" max="3814" width="11.1640625" style="164" customWidth="1"/>
    <col min="3815" max="3815" width="10.6640625" style="164" customWidth="1"/>
    <col min="3816" max="3816" width="8.5" style="164" customWidth="1"/>
    <col min="3817" max="3826" width="0" style="164" hidden="1" customWidth="1"/>
    <col min="3827" max="3827" width="12.5" style="164" customWidth="1"/>
    <col min="3828" max="3828" width="13.6640625" style="164" customWidth="1"/>
    <col min="3829" max="3832" width="0" style="164" hidden="1" customWidth="1"/>
    <col min="3833" max="3833" width="13.6640625" style="164" customWidth="1"/>
    <col min="3834" max="3834" width="12.5" style="164" customWidth="1"/>
    <col min="3835" max="3835" width="15.5" style="164" customWidth="1"/>
    <col min="3836" max="3836" width="13.6640625" style="164" customWidth="1"/>
    <col min="3837" max="3837" width="10.83203125" style="164" customWidth="1"/>
    <col min="3838" max="3838" width="10.33203125" style="164" customWidth="1"/>
    <col min="3839" max="3840" width="9.83203125" style="164" customWidth="1"/>
    <col min="3841" max="3841" width="10.83203125" style="164" customWidth="1"/>
    <col min="3842" max="3842" width="9.33203125" style="164" customWidth="1"/>
    <col min="3843" max="3845" width="9.83203125" style="164" customWidth="1"/>
    <col min="3846" max="3846" width="14.5" style="164" customWidth="1"/>
    <col min="3847" max="3847" width="18.1640625" style="164" customWidth="1"/>
    <col min="3848" max="3848" width="13.1640625" style="164" customWidth="1"/>
    <col min="3849" max="3849" width="13" style="164" customWidth="1"/>
    <col min="3850" max="3850" width="11" style="164" customWidth="1"/>
    <col min="3851" max="3855" width="0" style="164" hidden="1" customWidth="1"/>
    <col min="3856" max="3856" width="14.33203125" style="164" customWidth="1"/>
    <col min="3857" max="3859" width="0" style="164" hidden="1" customWidth="1"/>
    <col min="3860" max="3860" width="14.33203125" style="164" customWidth="1"/>
    <col min="3861" max="3863" width="0" style="164" hidden="1" customWidth="1"/>
    <col min="3864" max="3864" width="14.33203125" style="164" customWidth="1"/>
    <col min="3865" max="3867" width="0" style="164" hidden="1" customWidth="1"/>
    <col min="3868" max="3869" width="14.33203125" style="164" customWidth="1"/>
    <col min="3870" max="3870" width="14.1640625" style="164" customWidth="1"/>
    <col min="3871" max="3871" width="10.5" style="164" customWidth="1"/>
    <col min="3872" max="3872" width="10.1640625" style="164" customWidth="1"/>
    <col min="3873" max="3873" width="11.6640625" style="164" customWidth="1"/>
    <col min="3874" max="3874" width="9.83203125" style="164" customWidth="1"/>
    <col min="3875" max="3875" width="10.1640625" style="164" customWidth="1"/>
    <col min="3876" max="3876" width="9" style="164" customWidth="1"/>
    <col min="3877" max="3877" width="9.83203125" style="164" customWidth="1"/>
    <col min="3878" max="3878" width="9" style="164" customWidth="1"/>
    <col min="3879" max="4067" width="9.33203125" style="164"/>
    <col min="4068" max="4068" width="13.5" style="164" customWidth="1"/>
    <col min="4069" max="4069" width="12.83203125" style="164" customWidth="1"/>
    <col min="4070" max="4070" width="11.1640625" style="164" customWidth="1"/>
    <col min="4071" max="4071" width="10.6640625" style="164" customWidth="1"/>
    <col min="4072" max="4072" width="8.5" style="164" customWidth="1"/>
    <col min="4073" max="4082" width="0" style="164" hidden="1" customWidth="1"/>
    <col min="4083" max="4083" width="12.5" style="164" customWidth="1"/>
    <col min="4084" max="4084" width="13.6640625" style="164" customWidth="1"/>
    <col min="4085" max="4088" width="0" style="164" hidden="1" customWidth="1"/>
    <col min="4089" max="4089" width="13.6640625" style="164" customWidth="1"/>
    <col min="4090" max="4090" width="12.5" style="164" customWidth="1"/>
    <col min="4091" max="4091" width="15.5" style="164" customWidth="1"/>
    <col min="4092" max="4092" width="13.6640625" style="164" customWidth="1"/>
    <col min="4093" max="4093" width="10.83203125" style="164" customWidth="1"/>
    <col min="4094" max="4094" width="10.33203125" style="164" customWidth="1"/>
    <col min="4095" max="4096" width="9.83203125" style="164" customWidth="1"/>
    <col min="4097" max="4097" width="10.83203125" style="164" customWidth="1"/>
    <col min="4098" max="4098" width="9.33203125" style="164" customWidth="1"/>
    <col min="4099" max="4101" width="9.83203125" style="164" customWidth="1"/>
    <col min="4102" max="4102" width="14.5" style="164" customWidth="1"/>
    <col min="4103" max="4103" width="18.1640625" style="164" customWidth="1"/>
    <col min="4104" max="4104" width="13.1640625" style="164" customWidth="1"/>
    <col min="4105" max="4105" width="13" style="164" customWidth="1"/>
    <col min="4106" max="4106" width="11" style="164" customWidth="1"/>
    <col min="4107" max="4111" width="0" style="164" hidden="1" customWidth="1"/>
    <col min="4112" max="4112" width="14.33203125" style="164" customWidth="1"/>
    <col min="4113" max="4115" width="0" style="164" hidden="1" customWidth="1"/>
    <col min="4116" max="4116" width="14.33203125" style="164" customWidth="1"/>
    <col min="4117" max="4119" width="0" style="164" hidden="1" customWidth="1"/>
    <col min="4120" max="4120" width="14.33203125" style="164" customWidth="1"/>
    <col min="4121" max="4123" width="0" style="164" hidden="1" customWidth="1"/>
    <col min="4124" max="4125" width="14.33203125" style="164" customWidth="1"/>
    <col min="4126" max="4126" width="14.1640625" style="164" customWidth="1"/>
    <col min="4127" max="4127" width="10.5" style="164" customWidth="1"/>
    <col min="4128" max="4128" width="10.1640625" style="164" customWidth="1"/>
    <col min="4129" max="4129" width="11.6640625" style="164" customWidth="1"/>
    <col min="4130" max="4130" width="9.83203125" style="164" customWidth="1"/>
    <col min="4131" max="4131" width="10.1640625" style="164" customWidth="1"/>
    <col min="4132" max="4132" width="9" style="164" customWidth="1"/>
    <col min="4133" max="4133" width="9.83203125" style="164" customWidth="1"/>
    <col min="4134" max="4134" width="9" style="164" customWidth="1"/>
    <col min="4135" max="4323" width="9.33203125" style="164"/>
    <col min="4324" max="4324" width="13.5" style="164" customWidth="1"/>
    <col min="4325" max="4325" width="12.83203125" style="164" customWidth="1"/>
    <col min="4326" max="4326" width="11.1640625" style="164" customWidth="1"/>
    <col min="4327" max="4327" width="10.6640625" style="164" customWidth="1"/>
    <col min="4328" max="4328" width="8.5" style="164" customWidth="1"/>
    <col min="4329" max="4338" width="0" style="164" hidden="1" customWidth="1"/>
    <col min="4339" max="4339" width="12.5" style="164" customWidth="1"/>
    <col min="4340" max="4340" width="13.6640625" style="164" customWidth="1"/>
    <col min="4341" max="4344" width="0" style="164" hidden="1" customWidth="1"/>
    <col min="4345" max="4345" width="13.6640625" style="164" customWidth="1"/>
    <col min="4346" max="4346" width="12.5" style="164" customWidth="1"/>
    <col min="4347" max="4347" width="15.5" style="164" customWidth="1"/>
    <col min="4348" max="4348" width="13.6640625" style="164" customWidth="1"/>
    <col min="4349" max="4349" width="10.83203125" style="164" customWidth="1"/>
    <col min="4350" max="4350" width="10.33203125" style="164" customWidth="1"/>
    <col min="4351" max="4352" width="9.83203125" style="164" customWidth="1"/>
    <col min="4353" max="4353" width="10.83203125" style="164" customWidth="1"/>
    <col min="4354" max="4354" width="9.33203125" style="164" customWidth="1"/>
    <col min="4355" max="4357" width="9.83203125" style="164" customWidth="1"/>
    <col min="4358" max="4358" width="14.5" style="164" customWidth="1"/>
    <col min="4359" max="4359" width="18.1640625" style="164" customWidth="1"/>
    <col min="4360" max="4360" width="13.1640625" style="164" customWidth="1"/>
    <col min="4361" max="4361" width="13" style="164" customWidth="1"/>
    <col min="4362" max="4362" width="11" style="164" customWidth="1"/>
    <col min="4363" max="4367" width="0" style="164" hidden="1" customWidth="1"/>
    <col min="4368" max="4368" width="14.33203125" style="164" customWidth="1"/>
    <col min="4369" max="4371" width="0" style="164" hidden="1" customWidth="1"/>
    <col min="4372" max="4372" width="14.33203125" style="164" customWidth="1"/>
    <col min="4373" max="4375" width="0" style="164" hidden="1" customWidth="1"/>
    <col min="4376" max="4376" width="14.33203125" style="164" customWidth="1"/>
    <col min="4377" max="4379" width="0" style="164" hidden="1" customWidth="1"/>
    <col min="4380" max="4381" width="14.33203125" style="164" customWidth="1"/>
    <col min="4382" max="4382" width="14.1640625" style="164" customWidth="1"/>
    <col min="4383" max="4383" width="10.5" style="164" customWidth="1"/>
    <col min="4384" max="4384" width="10.1640625" style="164" customWidth="1"/>
    <col min="4385" max="4385" width="11.6640625" style="164" customWidth="1"/>
    <col min="4386" max="4386" width="9.83203125" style="164" customWidth="1"/>
    <col min="4387" max="4387" width="10.1640625" style="164" customWidth="1"/>
    <col min="4388" max="4388" width="9" style="164" customWidth="1"/>
    <col min="4389" max="4389" width="9.83203125" style="164" customWidth="1"/>
    <col min="4390" max="4390" width="9" style="164" customWidth="1"/>
    <col min="4391" max="4579" width="9.33203125" style="164"/>
    <col min="4580" max="4580" width="13.5" style="164" customWidth="1"/>
    <col min="4581" max="4581" width="12.83203125" style="164" customWidth="1"/>
    <col min="4582" max="4582" width="11.1640625" style="164" customWidth="1"/>
    <col min="4583" max="4583" width="10.6640625" style="164" customWidth="1"/>
    <col min="4584" max="4584" width="8.5" style="164" customWidth="1"/>
    <col min="4585" max="4594" width="0" style="164" hidden="1" customWidth="1"/>
    <col min="4595" max="4595" width="12.5" style="164" customWidth="1"/>
    <col min="4596" max="4596" width="13.6640625" style="164" customWidth="1"/>
    <col min="4597" max="4600" width="0" style="164" hidden="1" customWidth="1"/>
    <col min="4601" max="4601" width="13.6640625" style="164" customWidth="1"/>
    <col min="4602" max="4602" width="12.5" style="164" customWidth="1"/>
    <col min="4603" max="4603" width="15.5" style="164" customWidth="1"/>
    <col min="4604" max="4604" width="13.6640625" style="164" customWidth="1"/>
    <col min="4605" max="4605" width="10.83203125" style="164" customWidth="1"/>
    <col min="4606" max="4606" width="10.33203125" style="164" customWidth="1"/>
    <col min="4607" max="4608" width="9.83203125" style="164" customWidth="1"/>
    <col min="4609" max="4609" width="10.83203125" style="164" customWidth="1"/>
    <col min="4610" max="4610" width="9.33203125" style="164" customWidth="1"/>
    <col min="4611" max="4613" width="9.83203125" style="164" customWidth="1"/>
    <col min="4614" max="4614" width="14.5" style="164" customWidth="1"/>
    <col min="4615" max="4615" width="18.1640625" style="164" customWidth="1"/>
    <col min="4616" max="4616" width="13.1640625" style="164" customWidth="1"/>
    <col min="4617" max="4617" width="13" style="164" customWidth="1"/>
    <col min="4618" max="4618" width="11" style="164" customWidth="1"/>
    <col min="4619" max="4623" width="0" style="164" hidden="1" customWidth="1"/>
    <col min="4624" max="4624" width="14.33203125" style="164" customWidth="1"/>
    <col min="4625" max="4627" width="0" style="164" hidden="1" customWidth="1"/>
    <col min="4628" max="4628" width="14.33203125" style="164" customWidth="1"/>
    <col min="4629" max="4631" width="0" style="164" hidden="1" customWidth="1"/>
    <col min="4632" max="4632" width="14.33203125" style="164" customWidth="1"/>
    <col min="4633" max="4635" width="0" style="164" hidden="1" customWidth="1"/>
    <col min="4636" max="4637" width="14.33203125" style="164" customWidth="1"/>
    <col min="4638" max="4638" width="14.1640625" style="164" customWidth="1"/>
    <col min="4639" max="4639" width="10.5" style="164" customWidth="1"/>
    <col min="4640" max="4640" width="10.1640625" style="164" customWidth="1"/>
    <col min="4641" max="4641" width="11.6640625" style="164" customWidth="1"/>
    <col min="4642" max="4642" width="9.83203125" style="164" customWidth="1"/>
    <col min="4643" max="4643" width="10.1640625" style="164" customWidth="1"/>
    <col min="4644" max="4644" width="9" style="164" customWidth="1"/>
    <col min="4645" max="4645" width="9.83203125" style="164" customWidth="1"/>
    <col min="4646" max="4646" width="9" style="164" customWidth="1"/>
    <col min="4647" max="4835" width="9.33203125" style="164"/>
    <col min="4836" max="4836" width="13.5" style="164" customWidth="1"/>
    <col min="4837" max="4837" width="12.83203125" style="164" customWidth="1"/>
    <col min="4838" max="4838" width="11.1640625" style="164" customWidth="1"/>
    <col min="4839" max="4839" width="10.6640625" style="164" customWidth="1"/>
    <col min="4840" max="4840" width="8.5" style="164" customWidth="1"/>
    <col min="4841" max="4850" width="0" style="164" hidden="1" customWidth="1"/>
    <col min="4851" max="4851" width="12.5" style="164" customWidth="1"/>
    <col min="4852" max="4852" width="13.6640625" style="164" customWidth="1"/>
    <col min="4853" max="4856" width="0" style="164" hidden="1" customWidth="1"/>
    <col min="4857" max="4857" width="13.6640625" style="164" customWidth="1"/>
    <col min="4858" max="4858" width="12.5" style="164" customWidth="1"/>
    <col min="4859" max="4859" width="15.5" style="164" customWidth="1"/>
    <col min="4860" max="4860" width="13.6640625" style="164" customWidth="1"/>
    <col min="4861" max="4861" width="10.83203125" style="164" customWidth="1"/>
    <col min="4862" max="4862" width="10.33203125" style="164" customWidth="1"/>
    <col min="4863" max="4864" width="9.83203125" style="164" customWidth="1"/>
    <col min="4865" max="4865" width="10.83203125" style="164" customWidth="1"/>
    <col min="4866" max="4866" width="9.33203125" style="164" customWidth="1"/>
    <col min="4867" max="4869" width="9.83203125" style="164" customWidth="1"/>
    <col min="4870" max="4870" width="14.5" style="164" customWidth="1"/>
    <col min="4871" max="4871" width="18.1640625" style="164" customWidth="1"/>
    <col min="4872" max="4872" width="13.1640625" style="164" customWidth="1"/>
    <col min="4873" max="4873" width="13" style="164" customWidth="1"/>
    <col min="4874" max="4874" width="11" style="164" customWidth="1"/>
    <col min="4875" max="4879" width="0" style="164" hidden="1" customWidth="1"/>
    <col min="4880" max="4880" width="14.33203125" style="164" customWidth="1"/>
    <col min="4881" max="4883" width="0" style="164" hidden="1" customWidth="1"/>
    <col min="4884" max="4884" width="14.33203125" style="164" customWidth="1"/>
    <col min="4885" max="4887" width="0" style="164" hidden="1" customWidth="1"/>
    <col min="4888" max="4888" width="14.33203125" style="164" customWidth="1"/>
    <col min="4889" max="4891" width="0" style="164" hidden="1" customWidth="1"/>
    <col min="4892" max="4893" width="14.33203125" style="164" customWidth="1"/>
    <col min="4894" max="4894" width="14.1640625" style="164" customWidth="1"/>
    <col min="4895" max="4895" width="10.5" style="164" customWidth="1"/>
    <col min="4896" max="4896" width="10.1640625" style="164" customWidth="1"/>
    <col min="4897" max="4897" width="11.6640625" style="164" customWidth="1"/>
    <col min="4898" max="4898" width="9.83203125" style="164" customWidth="1"/>
    <col min="4899" max="4899" width="10.1640625" style="164" customWidth="1"/>
    <col min="4900" max="4900" width="9" style="164" customWidth="1"/>
    <col min="4901" max="4901" width="9.83203125" style="164" customWidth="1"/>
    <col min="4902" max="4902" width="9" style="164" customWidth="1"/>
    <col min="4903" max="5091" width="9.33203125" style="164"/>
    <col min="5092" max="5092" width="13.5" style="164" customWidth="1"/>
    <col min="5093" max="5093" width="12.83203125" style="164" customWidth="1"/>
    <col min="5094" max="5094" width="11.1640625" style="164" customWidth="1"/>
    <col min="5095" max="5095" width="10.6640625" style="164" customWidth="1"/>
    <col min="5096" max="5096" width="8.5" style="164" customWidth="1"/>
    <col min="5097" max="5106" width="0" style="164" hidden="1" customWidth="1"/>
    <col min="5107" max="5107" width="12.5" style="164" customWidth="1"/>
    <col min="5108" max="5108" width="13.6640625" style="164" customWidth="1"/>
    <col min="5109" max="5112" width="0" style="164" hidden="1" customWidth="1"/>
    <col min="5113" max="5113" width="13.6640625" style="164" customWidth="1"/>
    <col min="5114" max="5114" width="12.5" style="164" customWidth="1"/>
    <col min="5115" max="5115" width="15.5" style="164" customWidth="1"/>
    <col min="5116" max="5116" width="13.6640625" style="164" customWidth="1"/>
    <col min="5117" max="5117" width="10.83203125" style="164" customWidth="1"/>
    <col min="5118" max="5118" width="10.33203125" style="164" customWidth="1"/>
    <col min="5119" max="5120" width="9.83203125" style="164" customWidth="1"/>
    <col min="5121" max="5121" width="10.83203125" style="164" customWidth="1"/>
    <col min="5122" max="5122" width="9.33203125" style="164" customWidth="1"/>
    <col min="5123" max="5125" width="9.83203125" style="164" customWidth="1"/>
    <col min="5126" max="5126" width="14.5" style="164" customWidth="1"/>
    <col min="5127" max="5127" width="18.1640625" style="164" customWidth="1"/>
    <col min="5128" max="5128" width="13.1640625" style="164" customWidth="1"/>
    <col min="5129" max="5129" width="13" style="164" customWidth="1"/>
    <col min="5130" max="5130" width="11" style="164" customWidth="1"/>
    <col min="5131" max="5135" width="0" style="164" hidden="1" customWidth="1"/>
    <col min="5136" max="5136" width="14.33203125" style="164" customWidth="1"/>
    <col min="5137" max="5139" width="0" style="164" hidden="1" customWidth="1"/>
    <col min="5140" max="5140" width="14.33203125" style="164" customWidth="1"/>
    <col min="5141" max="5143" width="0" style="164" hidden="1" customWidth="1"/>
    <col min="5144" max="5144" width="14.33203125" style="164" customWidth="1"/>
    <col min="5145" max="5147" width="0" style="164" hidden="1" customWidth="1"/>
    <col min="5148" max="5149" width="14.33203125" style="164" customWidth="1"/>
    <col min="5150" max="5150" width="14.1640625" style="164" customWidth="1"/>
    <col min="5151" max="5151" width="10.5" style="164" customWidth="1"/>
    <col min="5152" max="5152" width="10.1640625" style="164" customWidth="1"/>
    <col min="5153" max="5153" width="11.6640625" style="164" customWidth="1"/>
    <col min="5154" max="5154" width="9.83203125" style="164" customWidth="1"/>
    <col min="5155" max="5155" width="10.1640625" style="164" customWidth="1"/>
    <col min="5156" max="5156" width="9" style="164" customWidth="1"/>
    <col min="5157" max="5157" width="9.83203125" style="164" customWidth="1"/>
    <col min="5158" max="5158" width="9" style="164" customWidth="1"/>
    <col min="5159" max="5347" width="9.33203125" style="164"/>
    <col min="5348" max="5348" width="13.5" style="164" customWidth="1"/>
    <col min="5349" max="5349" width="12.83203125" style="164" customWidth="1"/>
    <col min="5350" max="5350" width="11.1640625" style="164" customWidth="1"/>
    <col min="5351" max="5351" width="10.6640625" style="164" customWidth="1"/>
    <col min="5352" max="5352" width="8.5" style="164" customWidth="1"/>
    <col min="5353" max="5362" width="0" style="164" hidden="1" customWidth="1"/>
    <col min="5363" max="5363" width="12.5" style="164" customWidth="1"/>
    <col min="5364" max="5364" width="13.6640625" style="164" customWidth="1"/>
    <col min="5365" max="5368" width="0" style="164" hidden="1" customWidth="1"/>
    <col min="5369" max="5369" width="13.6640625" style="164" customWidth="1"/>
    <col min="5370" max="5370" width="12.5" style="164" customWidth="1"/>
    <col min="5371" max="5371" width="15.5" style="164" customWidth="1"/>
    <col min="5372" max="5372" width="13.6640625" style="164" customWidth="1"/>
    <col min="5373" max="5373" width="10.83203125" style="164" customWidth="1"/>
    <col min="5374" max="5374" width="10.33203125" style="164" customWidth="1"/>
    <col min="5375" max="5376" width="9.83203125" style="164" customWidth="1"/>
    <col min="5377" max="5377" width="10.83203125" style="164" customWidth="1"/>
    <col min="5378" max="5378" width="9.33203125" style="164" customWidth="1"/>
    <col min="5379" max="5381" width="9.83203125" style="164" customWidth="1"/>
    <col min="5382" max="5382" width="14.5" style="164" customWidth="1"/>
    <col min="5383" max="5383" width="18.1640625" style="164" customWidth="1"/>
    <col min="5384" max="5384" width="13.1640625" style="164" customWidth="1"/>
    <col min="5385" max="5385" width="13" style="164" customWidth="1"/>
    <col min="5386" max="5386" width="11" style="164" customWidth="1"/>
    <col min="5387" max="5391" width="0" style="164" hidden="1" customWidth="1"/>
    <col min="5392" max="5392" width="14.33203125" style="164" customWidth="1"/>
    <col min="5393" max="5395" width="0" style="164" hidden="1" customWidth="1"/>
    <col min="5396" max="5396" width="14.33203125" style="164" customWidth="1"/>
    <col min="5397" max="5399" width="0" style="164" hidden="1" customWidth="1"/>
    <col min="5400" max="5400" width="14.33203125" style="164" customWidth="1"/>
    <col min="5401" max="5403" width="0" style="164" hidden="1" customWidth="1"/>
    <col min="5404" max="5405" width="14.33203125" style="164" customWidth="1"/>
    <col min="5406" max="5406" width="14.1640625" style="164" customWidth="1"/>
    <col min="5407" max="5407" width="10.5" style="164" customWidth="1"/>
    <col min="5408" max="5408" width="10.1640625" style="164" customWidth="1"/>
    <col min="5409" max="5409" width="11.6640625" style="164" customWidth="1"/>
    <col min="5410" max="5410" width="9.83203125" style="164" customWidth="1"/>
    <col min="5411" max="5411" width="10.1640625" style="164" customWidth="1"/>
    <col min="5412" max="5412" width="9" style="164" customWidth="1"/>
    <col min="5413" max="5413" width="9.83203125" style="164" customWidth="1"/>
    <col min="5414" max="5414" width="9" style="164" customWidth="1"/>
    <col min="5415" max="5603" width="9.33203125" style="164"/>
    <col min="5604" max="5604" width="13.5" style="164" customWidth="1"/>
    <col min="5605" max="5605" width="12.83203125" style="164" customWidth="1"/>
    <col min="5606" max="5606" width="11.1640625" style="164" customWidth="1"/>
    <col min="5607" max="5607" width="10.6640625" style="164" customWidth="1"/>
    <col min="5608" max="5608" width="8.5" style="164" customWidth="1"/>
    <col min="5609" max="5618" width="0" style="164" hidden="1" customWidth="1"/>
    <col min="5619" max="5619" width="12.5" style="164" customWidth="1"/>
    <col min="5620" max="5620" width="13.6640625" style="164" customWidth="1"/>
    <col min="5621" max="5624" width="0" style="164" hidden="1" customWidth="1"/>
    <col min="5625" max="5625" width="13.6640625" style="164" customWidth="1"/>
    <col min="5626" max="5626" width="12.5" style="164" customWidth="1"/>
    <col min="5627" max="5627" width="15.5" style="164" customWidth="1"/>
    <col min="5628" max="5628" width="13.6640625" style="164" customWidth="1"/>
    <col min="5629" max="5629" width="10.83203125" style="164" customWidth="1"/>
    <col min="5630" max="5630" width="10.33203125" style="164" customWidth="1"/>
    <col min="5631" max="5632" width="9.83203125" style="164" customWidth="1"/>
    <col min="5633" max="5633" width="10.83203125" style="164" customWidth="1"/>
    <col min="5634" max="5634" width="9.33203125" style="164" customWidth="1"/>
    <col min="5635" max="5637" width="9.83203125" style="164" customWidth="1"/>
    <col min="5638" max="5638" width="14.5" style="164" customWidth="1"/>
    <col min="5639" max="5639" width="18.1640625" style="164" customWidth="1"/>
    <col min="5640" max="5640" width="13.1640625" style="164" customWidth="1"/>
    <col min="5641" max="5641" width="13" style="164" customWidth="1"/>
    <col min="5642" max="5642" width="11" style="164" customWidth="1"/>
    <col min="5643" max="5647" width="0" style="164" hidden="1" customWidth="1"/>
    <col min="5648" max="5648" width="14.33203125" style="164" customWidth="1"/>
    <col min="5649" max="5651" width="0" style="164" hidden="1" customWidth="1"/>
    <col min="5652" max="5652" width="14.33203125" style="164" customWidth="1"/>
    <col min="5653" max="5655" width="0" style="164" hidden="1" customWidth="1"/>
    <col min="5656" max="5656" width="14.33203125" style="164" customWidth="1"/>
    <col min="5657" max="5659" width="0" style="164" hidden="1" customWidth="1"/>
    <col min="5660" max="5661" width="14.33203125" style="164" customWidth="1"/>
    <col min="5662" max="5662" width="14.1640625" style="164" customWidth="1"/>
    <col min="5663" max="5663" width="10.5" style="164" customWidth="1"/>
    <col min="5664" max="5664" width="10.1640625" style="164" customWidth="1"/>
    <col min="5665" max="5665" width="11.6640625" style="164" customWidth="1"/>
    <col min="5666" max="5666" width="9.83203125" style="164" customWidth="1"/>
    <col min="5667" max="5667" width="10.1640625" style="164" customWidth="1"/>
    <col min="5668" max="5668" width="9" style="164" customWidth="1"/>
    <col min="5669" max="5669" width="9.83203125" style="164" customWidth="1"/>
    <col min="5670" max="5670" width="9" style="164" customWidth="1"/>
    <col min="5671" max="5859" width="9.33203125" style="164"/>
    <col min="5860" max="5860" width="13.5" style="164" customWidth="1"/>
    <col min="5861" max="5861" width="12.83203125" style="164" customWidth="1"/>
    <col min="5862" max="5862" width="11.1640625" style="164" customWidth="1"/>
    <col min="5863" max="5863" width="10.6640625" style="164" customWidth="1"/>
    <col min="5864" max="5864" width="8.5" style="164" customWidth="1"/>
    <col min="5865" max="5874" width="0" style="164" hidden="1" customWidth="1"/>
    <col min="5875" max="5875" width="12.5" style="164" customWidth="1"/>
    <col min="5876" max="5876" width="13.6640625" style="164" customWidth="1"/>
    <col min="5877" max="5880" width="0" style="164" hidden="1" customWidth="1"/>
    <col min="5881" max="5881" width="13.6640625" style="164" customWidth="1"/>
    <col min="5882" max="5882" width="12.5" style="164" customWidth="1"/>
    <col min="5883" max="5883" width="15.5" style="164" customWidth="1"/>
    <col min="5884" max="5884" width="13.6640625" style="164" customWidth="1"/>
    <col min="5885" max="5885" width="10.83203125" style="164" customWidth="1"/>
    <col min="5886" max="5886" width="10.33203125" style="164" customWidth="1"/>
    <col min="5887" max="5888" width="9.83203125" style="164" customWidth="1"/>
    <col min="5889" max="5889" width="10.83203125" style="164" customWidth="1"/>
    <col min="5890" max="5890" width="9.33203125" style="164" customWidth="1"/>
    <col min="5891" max="5893" width="9.83203125" style="164" customWidth="1"/>
    <col min="5894" max="5894" width="14.5" style="164" customWidth="1"/>
    <col min="5895" max="5895" width="18.1640625" style="164" customWidth="1"/>
    <col min="5896" max="5896" width="13.1640625" style="164" customWidth="1"/>
    <col min="5897" max="5897" width="13" style="164" customWidth="1"/>
    <col min="5898" max="5898" width="11" style="164" customWidth="1"/>
    <col min="5899" max="5903" width="0" style="164" hidden="1" customWidth="1"/>
    <col min="5904" max="5904" width="14.33203125" style="164" customWidth="1"/>
    <col min="5905" max="5907" width="0" style="164" hidden="1" customWidth="1"/>
    <col min="5908" max="5908" width="14.33203125" style="164" customWidth="1"/>
    <col min="5909" max="5911" width="0" style="164" hidden="1" customWidth="1"/>
    <col min="5912" max="5912" width="14.33203125" style="164" customWidth="1"/>
    <col min="5913" max="5915" width="0" style="164" hidden="1" customWidth="1"/>
    <col min="5916" max="5917" width="14.33203125" style="164" customWidth="1"/>
    <col min="5918" max="5918" width="14.1640625" style="164" customWidth="1"/>
    <col min="5919" max="5919" width="10.5" style="164" customWidth="1"/>
    <col min="5920" max="5920" width="10.1640625" style="164" customWidth="1"/>
    <col min="5921" max="5921" width="11.6640625" style="164" customWidth="1"/>
    <col min="5922" max="5922" width="9.83203125" style="164" customWidth="1"/>
    <col min="5923" max="5923" width="10.1640625" style="164" customWidth="1"/>
    <col min="5924" max="5924" width="9" style="164" customWidth="1"/>
    <col min="5925" max="5925" width="9.83203125" style="164" customWidth="1"/>
    <col min="5926" max="5926" width="9" style="164" customWidth="1"/>
    <col min="5927" max="6115" width="9.33203125" style="164"/>
    <col min="6116" max="6116" width="13.5" style="164" customWidth="1"/>
    <col min="6117" max="6117" width="12.83203125" style="164" customWidth="1"/>
    <col min="6118" max="6118" width="11.1640625" style="164" customWidth="1"/>
    <col min="6119" max="6119" width="10.6640625" style="164" customWidth="1"/>
    <col min="6120" max="6120" width="8.5" style="164" customWidth="1"/>
    <col min="6121" max="6130" width="0" style="164" hidden="1" customWidth="1"/>
    <col min="6131" max="6131" width="12.5" style="164" customWidth="1"/>
    <col min="6132" max="6132" width="13.6640625" style="164" customWidth="1"/>
    <col min="6133" max="6136" width="0" style="164" hidden="1" customWidth="1"/>
    <col min="6137" max="6137" width="13.6640625" style="164" customWidth="1"/>
    <col min="6138" max="6138" width="12.5" style="164" customWidth="1"/>
    <col min="6139" max="6139" width="15.5" style="164" customWidth="1"/>
    <col min="6140" max="6140" width="13.6640625" style="164" customWidth="1"/>
    <col min="6141" max="6141" width="10.83203125" style="164" customWidth="1"/>
    <col min="6142" max="6142" width="10.33203125" style="164" customWidth="1"/>
    <col min="6143" max="6144" width="9.83203125" style="164" customWidth="1"/>
    <col min="6145" max="6145" width="10.83203125" style="164" customWidth="1"/>
    <col min="6146" max="6146" width="9.33203125" style="164" customWidth="1"/>
    <col min="6147" max="6149" width="9.83203125" style="164" customWidth="1"/>
    <col min="6150" max="6150" width="14.5" style="164" customWidth="1"/>
    <col min="6151" max="6151" width="18.1640625" style="164" customWidth="1"/>
    <col min="6152" max="6152" width="13.1640625" style="164" customWidth="1"/>
    <col min="6153" max="6153" width="13" style="164" customWidth="1"/>
    <col min="6154" max="6154" width="11" style="164" customWidth="1"/>
    <col min="6155" max="6159" width="0" style="164" hidden="1" customWidth="1"/>
    <col min="6160" max="6160" width="14.33203125" style="164" customWidth="1"/>
    <col min="6161" max="6163" width="0" style="164" hidden="1" customWidth="1"/>
    <col min="6164" max="6164" width="14.33203125" style="164" customWidth="1"/>
    <col min="6165" max="6167" width="0" style="164" hidden="1" customWidth="1"/>
    <col min="6168" max="6168" width="14.33203125" style="164" customWidth="1"/>
    <col min="6169" max="6171" width="0" style="164" hidden="1" customWidth="1"/>
    <col min="6172" max="6173" width="14.33203125" style="164" customWidth="1"/>
    <col min="6174" max="6174" width="14.1640625" style="164" customWidth="1"/>
    <col min="6175" max="6175" width="10.5" style="164" customWidth="1"/>
    <col min="6176" max="6176" width="10.1640625" style="164" customWidth="1"/>
    <col min="6177" max="6177" width="11.6640625" style="164" customWidth="1"/>
    <col min="6178" max="6178" width="9.83203125" style="164" customWidth="1"/>
    <col min="6179" max="6179" width="10.1640625" style="164" customWidth="1"/>
    <col min="6180" max="6180" width="9" style="164" customWidth="1"/>
    <col min="6181" max="6181" width="9.83203125" style="164" customWidth="1"/>
    <col min="6182" max="6182" width="9" style="164" customWidth="1"/>
    <col min="6183" max="6371" width="9.33203125" style="164"/>
    <col min="6372" max="6372" width="13.5" style="164" customWidth="1"/>
    <col min="6373" max="6373" width="12.83203125" style="164" customWidth="1"/>
    <col min="6374" max="6374" width="11.1640625" style="164" customWidth="1"/>
    <col min="6375" max="6375" width="10.6640625" style="164" customWidth="1"/>
    <col min="6376" max="6376" width="8.5" style="164" customWidth="1"/>
    <col min="6377" max="6386" width="0" style="164" hidden="1" customWidth="1"/>
    <col min="6387" max="6387" width="12.5" style="164" customWidth="1"/>
    <col min="6388" max="6388" width="13.6640625" style="164" customWidth="1"/>
    <col min="6389" max="6392" width="0" style="164" hidden="1" customWidth="1"/>
    <col min="6393" max="6393" width="13.6640625" style="164" customWidth="1"/>
    <col min="6394" max="6394" width="12.5" style="164" customWidth="1"/>
    <col min="6395" max="6395" width="15.5" style="164" customWidth="1"/>
    <col min="6396" max="6396" width="13.6640625" style="164" customWidth="1"/>
    <col min="6397" max="6397" width="10.83203125" style="164" customWidth="1"/>
    <col min="6398" max="6398" width="10.33203125" style="164" customWidth="1"/>
    <col min="6399" max="6400" width="9.83203125" style="164" customWidth="1"/>
    <col min="6401" max="6401" width="10.83203125" style="164" customWidth="1"/>
    <col min="6402" max="6402" width="9.33203125" style="164" customWidth="1"/>
    <col min="6403" max="6405" width="9.83203125" style="164" customWidth="1"/>
    <col min="6406" max="6406" width="14.5" style="164" customWidth="1"/>
    <col min="6407" max="6407" width="18.1640625" style="164" customWidth="1"/>
    <col min="6408" max="6408" width="13.1640625" style="164" customWidth="1"/>
    <col min="6409" max="6409" width="13" style="164" customWidth="1"/>
    <col min="6410" max="6410" width="11" style="164" customWidth="1"/>
    <col min="6411" max="6415" width="0" style="164" hidden="1" customWidth="1"/>
    <col min="6416" max="6416" width="14.33203125" style="164" customWidth="1"/>
    <col min="6417" max="6419" width="0" style="164" hidden="1" customWidth="1"/>
    <col min="6420" max="6420" width="14.33203125" style="164" customWidth="1"/>
    <col min="6421" max="6423" width="0" style="164" hidden="1" customWidth="1"/>
    <col min="6424" max="6424" width="14.33203125" style="164" customWidth="1"/>
    <col min="6425" max="6427" width="0" style="164" hidden="1" customWidth="1"/>
    <col min="6428" max="6429" width="14.33203125" style="164" customWidth="1"/>
    <col min="6430" max="6430" width="14.1640625" style="164" customWidth="1"/>
    <col min="6431" max="6431" width="10.5" style="164" customWidth="1"/>
    <col min="6432" max="6432" width="10.1640625" style="164" customWidth="1"/>
    <col min="6433" max="6433" width="11.6640625" style="164" customWidth="1"/>
    <col min="6434" max="6434" width="9.83203125" style="164" customWidth="1"/>
    <col min="6435" max="6435" width="10.1640625" style="164" customWidth="1"/>
    <col min="6436" max="6436" width="9" style="164" customWidth="1"/>
    <col min="6437" max="6437" width="9.83203125" style="164" customWidth="1"/>
    <col min="6438" max="6438" width="9" style="164" customWidth="1"/>
    <col min="6439" max="6627" width="9.33203125" style="164"/>
    <col min="6628" max="6628" width="13.5" style="164" customWidth="1"/>
    <col min="6629" max="6629" width="12.83203125" style="164" customWidth="1"/>
    <col min="6630" max="6630" width="11.1640625" style="164" customWidth="1"/>
    <col min="6631" max="6631" width="10.6640625" style="164" customWidth="1"/>
    <col min="6632" max="6632" width="8.5" style="164" customWidth="1"/>
    <col min="6633" max="6642" width="0" style="164" hidden="1" customWidth="1"/>
    <col min="6643" max="6643" width="12.5" style="164" customWidth="1"/>
    <col min="6644" max="6644" width="13.6640625" style="164" customWidth="1"/>
    <col min="6645" max="6648" width="0" style="164" hidden="1" customWidth="1"/>
    <col min="6649" max="6649" width="13.6640625" style="164" customWidth="1"/>
    <col min="6650" max="6650" width="12.5" style="164" customWidth="1"/>
    <col min="6651" max="6651" width="15.5" style="164" customWidth="1"/>
    <col min="6652" max="6652" width="13.6640625" style="164" customWidth="1"/>
    <col min="6653" max="6653" width="10.83203125" style="164" customWidth="1"/>
    <col min="6654" max="6654" width="10.33203125" style="164" customWidth="1"/>
    <col min="6655" max="6656" width="9.83203125" style="164" customWidth="1"/>
    <col min="6657" max="6657" width="10.83203125" style="164" customWidth="1"/>
    <col min="6658" max="6658" width="9.33203125" style="164" customWidth="1"/>
    <col min="6659" max="6661" width="9.83203125" style="164" customWidth="1"/>
    <col min="6662" max="6662" width="14.5" style="164" customWidth="1"/>
    <col min="6663" max="6663" width="18.1640625" style="164" customWidth="1"/>
    <col min="6664" max="6664" width="13.1640625" style="164" customWidth="1"/>
    <col min="6665" max="6665" width="13" style="164" customWidth="1"/>
    <col min="6666" max="6666" width="11" style="164" customWidth="1"/>
    <col min="6667" max="6671" width="0" style="164" hidden="1" customWidth="1"/>
    <col min="6672" max="6672" width="14.33203125" style="164" customWidth="1"/>
    <col min="6673" max="6675" width="0" style="164" hidden="1" customWidth="1"/>
    <col min="6676" max="6676" width="14.33203125" style="164" customWidth="1"/>
    <col min="6677" max="6679" width="0" style="164" hidden="1" customWidth="1"/>
    <col min="6680" max="6680" width="14.33203125" style="164" customWidth="1"/>
    <col min="6681" max="6683" width="0" style="164" hidden="1" customWidth="1"/>
    <col min="6684" max="6685" width="14.33203125" style="164" customWidth="1"/>
    <col min="6686" max="6686" width="14.1640625" style="164" customWidth="1"/>
    <col min="6687" max="6687" width="10.5" style="164" customWidth="1"/>
    <col min="6688" max="6688" width="10.1640625" style="164" customWidth="1"/>
    <col min="6689" max="6689" width="11.6640625" style="164" customWidth="1"/>
    <col min="6690" max="6690" width="9.83203125" style="164" customWidth="1"/>
    <col min="6691" max="6691" width="10.1640625" style="164" customWidth="1"/>
    <col min="6692" max="6692" width="9" style="164" customWidth="1"/>
    <col min="6693" max="6693" width="9.83203125" style="164" customWidth="1"/>
    <col min="6694" max="6694" width="9" style="164" customWidth="1"/>
    <col min="6695" max="6883" width="9.33203125" style="164"/>
    <col min="6884" max="6884" width="13.5" style="164" customWidth="1"/>
    <col min="6885" max="6885" width="12.83203125" style="164" customWidth="1"/>
    <col min="6886" max="6886" width="11.1640625" style="164" customWidth="1"/>
    <col min="6887" max="6887" width="10.6640625" style="164" customWidth="1"/>
    <col min="6888" max="6888" width="8.5" style="164" customWidth="1"/>
    <col min="6889" max="6898" width="0" style="164" hidden="1" customWidth="1"/>
    <col min="6899" max="6899" width="12.5" style="164" customWidth="1"/>
    <col min="6900" max="6900" width="13.6640625" style="164" customWidth="1"/>
    <col min="6901" max="6904" width="0" style="164" hidden="1" customWidth="1"/>
    <col min="6905" max="6905" width="13.6640625" style="164" customWidth="1"/>
    <col min="6906" max="6906" width="12.5" style="164" customWidth="1"/>
    <col min="6907" max="6907" width="15.5" style="164" customWidth="1"/>
    <col min="6908" max="6908" width="13.6640625" style="164" customWidth="1"/>
    <col min="6909" max="6909" width="10.83203125" style="164" customWidth="1"/>
    <col min="6910" max="6910" width="10.33203125" style="164" customWidth="1"/>
    <col min="6911" max="6912" width="9.83203125" style="164" customWidth="1"/>
    <col min="6913" max="6913" width="10.83203125" style="164" customWidth="1"/>
    <col min="6914" max="6914" width="9.33203125" style="164" customWidth="1"/>
    <col min="6915" max="6917" width="9.83203125" style="164" customWidth="1"/>
    <col min="6918" max="6918" width="14.5" style="164" customWidth="1"/>
    <col min="6919" max="6919" width="18.1640625" style="164" customWidth="1"/>
    <col min="6920" max="6920" width="13.1640625" style="164" customWidth="1"/>
    <col min="6921" max="6921" width="13" style="164" customWidth="1"/>
    <col min="6922" max="6922" width="11" style="164" customWidth="1"/>
    <col min="6923" max="6927" width="0" style="164" hidden="1" customWidth="1"/>
    <col min="6928" max="6928" width="14.33203125" style="164" customWidth="1"/>
    <col min="6929" max="6931" width="0" style="164" hidden="1" customWidth="1"/>
    <col min="6932" max="6932" width="14.33203125" style="164" customWidth="1"/>
    <col min="6933" max="6935" width="0" style="164" hidden="1" customWidth="1"/>
    <col min="6936" max="6936" width="14.33203125" style="164" customWidth="1"/>
    <col min="6937" max="6939" width="0" style="164" hidden="1" customWidth="1"/>
    <col min="6940" max="6941" width="14.33203125" style="164" customWidth="1"/>
    <col min="6942" max="6942" width="14.1640625" style="164" customWidth="1"/>
    <col min="6943" max="6943" width="10.5" style="164" customWidth="1"/>
    <col min="6944" max="6944" width="10.1640625" style="164" customWidth="1"/>
    <col min="6945" max="6945" width="11.6640625" style="164" customWidth="1"/>
    <col min="6946" max="6946" width="9.83203125" style="164" customWidth="1"/>
    <col min="6947" max="6947" width="10.1640625" style="164" customWidth="1"/>
    <col min="6948" max="6948" width="9" style="164" customWidth="1"/>
    <col min="6949" max="6949" width="9.83203125" style="164" customWidth="1"/>
    <col min="6950" max="6950" width="9" style="164" customWidth="1"/>
    <col min="6951" max="7139" width="9.33203125" style="164"/>
    <col min="7140" max="7140" width="13.5" style="164" customWidth="1"/>
    <col min="7141" max="7141" width="12.83203125" style="164" customWidth="1"/>
    <col min="7142" max="7142" width="11.1640625" style="164" customWidth="1"/>
    <col min="7143" max="7143" width="10.6640625" style="164" customWidth="1"/>
    <col min="7144" max="7144" width="8.5" style="164" customWidth="1"/>
    <col min="7145" max="7154" width="0" style="164" hidden="1" customWidth="1"/>
    <col min="7155" max="7155" width="12.5" style="164" customWidth="1"/>
    <col min="7156" max="7156" width="13.6640625" style="164" customWidth="1"/>
    <col min="7157" max="7160" width="0" style="164" hidden="1" customWidth="1"/>
    <col min="7161" max="7161" width="13.6640625" style="164" customWidth="1"/>
    <col min="7162" max="7162" width="12.5" style="164" customWidth="1"/>
    <col min="7163" max="7163" width="15.5" style="164" customWidth="1"/>
    <col min="7164" max="7164" width="13.6640625" style="164" customWidth="1"/>
    <col min="7165" max="7165" width="10.83203125" style="164" customWidth="1"/>
    <col min="7166" max="7166" width="10.33203125" style="164" customWidth="1"/>
    <col min="7167" max="7168" width="9.83203125" style="164" customWidth="1"/>
    <col min="7169" max="7169" width="10.83203125" style="164" customWidth="1"/>
    <col min="7170" max="7170" width="9.33203125" style="164" customWidth="1"/>
    <col min="7171" max="7173" width="9.83203125" style="164" customWidth="1"/>
    <col min="7174" max="7174" width="14.5" style="164" customWidth="1"/>
    <col min="7175" max="7175" width="18.1640625" style="164" customWidth="1"/>
    <col min="7176" max="7176" width="13.1640625" style="164" customWidth="1"/>
    <col min="7177" max="7177" width="13" style="164" customWidth="1"/>
    <col min="7178" max="7178" width="11" style="164" customWidth="1"/>
    <col min="7179" max="7183" width="0" style="164" hidden="1" customWidth="1"/>
    <col min="7184" max="7184" width="14.33203125" style="164" customWidth="1"/>
    <col min="7185" max="7187" width="0" style="164" hidden="1" customWidth="1"/>
    <col min="7188" max="7188" width="14.33203125" style="164" customWidth="1"/>
    <col min="7189" max="7191" width="0" style="164" hidden="1" customWidth="1"/>
    <col min="7192" max="7192" width="14.33203125" style="164" customWidth="1"/>
    <col min="7193" max="7195" width="0" style="164" hidden="1" customWidth="1"/>
    <col min="7196" max="7197" width="14.33203125" style="164" customWidth="1"/>
    <col min="7198" max="7198" width="14.1640625" style="164" customWidth="1"/>
    <col min="7199" max="7199" width="10.5" style="164" customWidth="1"/>
    <col min="7200" max="7200" width="10.1640625" style="164" customWidth="1"/>
    <col min="7201" max="7201" width="11.6640625" style="164" customWidth="1"/>
    <col min="7202" max="7202" width="9.83203125" style="164" customWidth="1"/>
    <col min="7203" max="7203" width="10.1640625" style="164" customWidth="1"/>
    <col min="7204" max="7204" width="9" style="164" customWidth="1"/>
    <col min="7205" max="7205" width="9.83203125" style="164" customWidth="1"/>
    <col min="7206" max="7206" width="9" style="164" customWidth="1"/>
    <col min="7207" max="7395" width="9.33203125" style="164"/>
    <col min="7396" max="7396" width="13.5" style="164" customWidth="1"/>
    <col min="7397" max="7397" width="12.83203125" style="164" customWidth="1"/>
    <col min="7398" max="7398" width="11.1640625" style="164" customWidth="1"/>
    <col min="7399" max="7399" width="10.6640625" style="164" customWidth="1"/>
    <col min="7400" max="7400" width="8.5" style="164" customWidth="1"/>
    <col min="7401" max="7410" width="0" style="164" hidden="1" customWidth="1"/>
    <col min="7411" max="7411" width="12.5" style="164" customWidth="1"/>
    <col min="7412" max="7412" width="13.6640625" style="164" customWidth="1"/>
    <col min="7413" max="7416" width="0" style="164" hidden="1" customWidth="1"/>
    <col min="7417" max="7417" width="13.6640625" style="164" customWidth="1"/>
    <col min="7418" max="7418" width="12.5" style="164" customWidth="1"/>
    <col min="7419" max="7419" width="15.5" style="164" customWidth="1"/>
    <col min="7420" max="7420" width="13.6640625" style="164" customWidth="1"/>
    <col min="7421" max="7421" width="10.83203125" style="164" customWidth="1"/>
    <col min="7422" max="7422" width="10.33203125" style="164" customWidth="1"/>
    <col min="7423" max="7424" width="9.83203125" style="164" customWidth="1"/>
    <col min="7425" max="7425" width="10.83203125" style="164" customWidth="1"/>
    <col min="7426" max="7426" width="9.33203125" style="164" customWidth="1"/>
    <col min="7427" max="7429" width="9.83203125" style="164" customWidth="1"/>
    <col min="7430" max="7430" width="14.5" style="164" customWidth="1"/>
    <col min="7431" max="7431" width="18.1640625" style="164" customWidth="1"/>
    <col min="7432" max="7432" width="13.1640625" style="164" customWidth="1"/>
    <col min="7433" max="7433" width="13" style="164" customWidth="1"/>
    <col min="7434" max="7434" width="11" style="164" customWidth="1"/>
    <col min="7435" max="7439" width="0" style="164" hidden="1" customWidth="1"/>
    <col min="7440" max="7440" width="14.33203125" style="164" customWidth="1"/>
    <col min="7441" max="7443" width="0" style="164" hidden="1" customWidth="1"/>
    <col min="7444" max="7444" width="14.33203125" style="164" customWidth="1"/>
    <col min="7445" max="7447" width="0" style="164" hidden="1" customWidth="1"/>
    <col min="7448" max="7448" width="14.33203125" style="164" customWidth="1"/>
    <col min="7449" max="7451" width="0" style="164" hidden="1" customWidth="1"/>
    <col min="7452" max="7453" width="14.33203125" style="164" customWidth="1"/>
    <col min="7454" max="7454" width="14.1640625" style="164" customWidth="1"/>
    <col min="7455" max="7455" width="10.5" style="164" customWidth="1"/>
    <col min="7456" max="7456" width="10.1640625" style="164" customWidth="1"/>
    <col min="7457" max="7457" width="11.6640625" style="164" customWidth="1"/>
    <col min="7458" max="7458" width="9.83203125" style="164" customWidth="1"/>
    <col min="7459" max="7459" width="10.1640625" style="164" customWidth="1"/>
    <col min="7460" max="7460" width="9" style="164" customWidth="1"/>
    <col min="7461" max="7461" width="9.83203125" style="164" customWidth="1"/>
    <col min="7462" max="7462" width="9" style="164" customWidth="1"/>
    <col min="7463" max="7651" width="9.33203125" style="164"/>
    <col min="7652" max="7652" width="13.5" style="164" customWidth="1"/>
    <col min="7653" max="7653" width="12.83203125" style="164" customWidth="1"/>
    <col min="7654" max="7654" width="11.1640625" style="164" customWidth="1"/>
    <col min="7655" max="7655" width="10.6640625" style="164" customWidth="1"/>
    <col min="7656" max="7656" width="8.5" style="164" customWidth="1"/>
    <col min="7657" max="7666" width="0" style="164" hidden="1" customWidth="1"/>
    <col min="7667" max="7667" width="12.5" style="164" customWidth="1"/>
    <col min="7668" max="7668" width="13.6640625" style="164" customWidth="1"/>
    <col min="7669" max="7672" width="0" style="164" hidden="1" customWidth="1"/>
    <col min="7673" max="7673" width="13.6640625" style="164" customWidth="1"/>
    <col min="7674" max="7674" width="12.5" style="164" customWidth="1"/>
    <col min="7675" max="7675" width="15.5" style="164" customWidth="1"/>
    <col min="7676" max="7676" width="13.6640625" style="164" customWidth="1"/>
    <col min="7677" max="7677" width="10.83203125" style="164" customWidth="1"/>
    <col min="7678" max="7678" width="10.33203125" style="164" customWidth="1"/>
    <col min="7679" max="7680" width="9.83203125" style="164" customWidth="1"/>
    <col min="7681" max="7681" width="10.83203125" style="164" customWidth="1"/>
    <col min="7682" max="7682" width="9.33203125" style="164" customWidth="1"/>
    <col min="7683" max="7685" width="9.83203125" style="164" customWidth="1"/>
    <col min="7686" max="7686" width="14.5" style="164" customWidth="1"/>
    <col min="7687" max="7687" width="18.1640625" style="164" customWidth="1"/>
    <col min="7688" max="7688" width="13.1640625" style="164" customWidth="1"/>
    <col min="7689" max="7689" width="13" style="164" customWidth="1"/>
    <col min="7690" max="7690" width="11" style="164" customWidth="1"/>
    <col min="7691" max="7695" width="0" style="164" hidden="1" customWidth="1"/>
    <col min="7696" max="7696" width="14.33203125" style="164" customWidth="1"/>
    <col min="7697" max="7699" width="0" style="164" hidden="1" customWidth="1"/>
    <col min="7700" max="7700" width="14.33203125" style="164" customWidth="1"/>
    <col min="7701" max="7703" width="0" style="164" hidden="1" customWidth="1"/>
    <col min="7704" max="7704" width="14.33203125" style="164" customWidth="1"/>
    <col min="7705" max="7707" width="0" style="164" hidden="1" customWidth="1"/>
    <col min="7708" max="7709" width="14.33203125" style="164" customWidth="1"/>
    <col min="7710" max="7710" width="14.1640625" style="164" customWidth="1"/>
    <col min="7711" max="7711" width="10.5" style="164" customWidth="1"/>
    <col min="7712" max="7712" width="10.1640625" style="164" customWidth="1"/>
    <col min="7713" max="7713" width="11.6640625" style="164" customWidth="1"/>
    <col min="7714" max="7714" width="9.83203125" style="164" customWidth="1"/>
    <col min="7715" max="7715" width="10.1640625" style="164" customWidth="1"/>
    <col min="7716" max="7716" width="9" style="164" customWidth="1"/>
    <col min="7717" max="7717" width="9.83203125" style="164" customWidth="1"/>
    <col min="7718" max="7718" width="9" style="164" customWidth="1"/>
    <col min="7719" max="7907" width="9.33203125" style="164"/>
    <col min="7908" max="7908" width="13.5" style="164" customWidth="1"/>
    <col min="7909" max="7909" width="12.83203125" style="164" customWidth="1"/>
    <col min="7910" max="7910" width="11.1640625" style="164" customWidth="1"/>
    <col min="7911" max="7911" width="10.6640625" style="164" customWidth="1"/>
    <col min="7912" max="7912" width="8.5" style="164" customWidth="1"/>
    <col min="7913" max="7922" width="0" style="164" hidden="1" customWidth="1"/>
    <col min="7923" max="7923" width="12.5" style="164" customWidth="1"/>
    <col min="7924" max="7924" width="13.6640625" style="164" customWidth="1"/>
    <col min="7925" max="7928" width="0" style="164" hidden="1" customWidth="1"/>
    <col min="7929" max="7929" width="13.6640625" style="164" customWidth="1"/>
    <col min="7930" max="7930" width="12.5" style="164" customWidth="1"/>
    <col min="7931" max="7931" width="15.5" style="164" customWidth="1"/>
    <col min="7932" max="7932" width="13.6640625" style="164" customWidth="1"/>
    <col min="7933" max="7933" width="10.83203125" style="164" customWidth="1"/>
    <col min="7934" max="7934" width="10.33203125" style="164" customWidth="1"/>
    <col min="7935" max="7936" width="9.83203125" style="164" customWidth="1"/>
    <col min="7937" max="7937" width="10.83203125" style="164" customWidth="1"/>
    <col min="7938" max="7938" width="9.33203125" style="164" customWidth="1"/>
    <col min="7939" max="7941" width="9.83203125" style="164" customWidth="1"/>
    <col min="7942" max="7942" width="14.5" style="164" customWidth="1"/>
    <col min="7943" max="7943" width="18.1640625" style="164" customWidth="1"/>
    <col min="7944" max="7944" width="13.1640625" style="164" customWidth="1"/>
    <col min="7945" max="7945" width="13" style="164" customWidth="1"/>
    <col min="7946" max="7946" width="11" style="164" customWidth="1"/>
    <col min="7947" max="7951" width="0" style="164" hidden="1" customWidth="1"/>
    <col min="7952" max="7952" width="14.33203125" style="164" customWidth="1"/>
    <col min="7953" max="7955" width="0" style="164" hidden="1" customWidth="1"/>
    <col min="7956" max="7956" width="14.33203125" style="164" customWidth="1"/>
    <col min="7957" max="7959" width="0" style="164" hidden="1" customWidth="1"/>
    <col min="7960" max="7960" width="14.33203125" style="164" customWidth="1"/>
    <col min="7961" max="7963" width="0" style="164" hidden="1" customWidth="1"/>
    <col min="7964" max="7965" width="14.33203125" style="164" customWidth="1"/>
    <col min="7966" max="7966" width="14.1640625" style="164" customWidth="1"/>
    <col min="7967" max="7967" width="10.5" style="164" customWidth="1"/>
    <col min="7968" max="7968" width="10.1640625" style="164" customWidth="1"/>
    <col min="7969" max="7969" width="11.6640625" style="164" customWidth="1"/>
    <col min="7970" max="7970" width="9.83203125" style="164" customWidth="1"/>
    <col min="7971" max="7971" width="10.1640625" style="164" customWidth="1"/>
    <col min="7972" max="7972" width="9" style="164" customWidth="1"/>
    <col min="7973" max="7973" width="9.83203125" style="164" customWidth="1"/>
    <col min="7974" max="7974" width="9" style="164" customWidth="1"/>
    <col min="7975" max="8163" width="9.33203125" style="164"/>
    <col min="8164" max="8164" width="13.5" style="164" customWidth="1"/>
    <col min="8165" max="8165" width="12.83203125" style="164" customWidth="1"/>
    <col min="8166" max="8166" width="11.1640625" style="164" customWidth="1"/>
    <col min="8167" max="8167" width="10.6640625" style="164" customWidth="1"/>
    <col min="8168" max="8168" width="8.5" style="164" customWidth="1"/>
    <col min="8169" max="8178" width="0" style="164" hidden="1" customWidth="1"/>
    <col min="8179" max="8179" width="12.5" style="164" customWidth="1"/>
    <col min="8180" max="8180" width="13.6640625" style="164" customWidth="1"/>
    <col min="8181" max="8184" width="0" style="164" hidden="1" customWidth="1"/>
    <col min="8185" max="8185" width="13.6640625" style="164" customWidth="1"/>
    <col min="8186" max="8186" width="12.5" style="164" customWidth="1"/>
    <col min="8187" max="8187" width="15.5" style="164" customWidth="1"/>
    <col min="8188" max="8188" width="13.6640625" style="164" customWidth="1"/>
    <col min="8189" max="8189" width="10.83203125" style="164" customWidth="1"/>
    <col min="8190" max="8190" width="10.33203125" style="164" customWidth="1"/>
    <col min="8191" max="8192" width="9.83203125" style="164" customWidth="1"/>
    <col min="8193" max="8193" width="10.83203125" style="164" customWidth="1"/>
    <col min="8194" max="8194" width="9.33203125" style="164" customWidth="1"/>
    <col min="8195" max="8197" width="9.83203125" style="164" customWidth="1"/>
    <col min="8198" max="8198" width="14.5" style="164" customWidth="1"/>
    <col min="8199" max="8199" width="18.1640625" style="164" customWidth="1"/>
    <col min="8200" max="8200" width="13.1640625" style="164" customWidth="1"/>
    <col min="8201" max="8201" width="13" style="164" customWidth="1"/>
    <col min="8202" max="8202" width="11" style="164" customWidth="1"/>
    <col min="8203" max="8207" width="0" style="164" hidden="1" customWidth="1"/>
    <col min="8208" max="8208" width="14.33203125" style="164" customWidth="1"/>
    <col min="8209" max="8211" width="0" style="164" hidden="1" customWidth="1"/>
    <col min="8212" max="8212" width="14.33203125" style="164" customWidth="1"/>
    <col min="8213" max="8215" width="0" style="164" hidden="1" customWidth="1"/>
    <col min="8216" max="8216" width="14.33203125" style="164" customWidth="1"/>
    <col min="8217" max="8219" width="0" style="164" hidden="1" customWidth="1"/>
    <col min="8220" max="8221" width="14.33203125" style="164" customWidth="1"/>
    <col min="8222" max="8222" width="14.1640625" style="164" customWidth="1"/>
    <col min="8223" max="8223" width="10.5" style="164" customWidth="1"/>
    <col min="8224" max="8224" width="10.1640625" style="164" customWidth="1"/>
    <col min="8225" max="8225" width="11.6640625" style="164" customWidth="1"/>
    <col min="8226" max="8226" width="9.83203125" style="164" customWidth="1"/>
    <col min="8227" max="8227" width="10.1640625" style="164" customWidth="1"/>
    <col min="8228" max="8228" width="9" style="164" customWidth="1"/>
    <col min="8229" max="8229" width="9.83203125" style="164" customWidth="1"/>
    <col min="8230" max="8230" width="9" style="164" customWidth="1"/>
    <col min="8231" max="8419" width="9.33203125" style="164"/>
    <col min="8420" max="8420" width="13.5" style="164" customWidth="1"/>
    <col min="8421" max="8421" width="12.83203125" style="164" customWidth="1"/>
    <col min="8422" max="8422" width="11.1640625" style="164" customWidth="1"/>
    <col min="8423" max="8423" width="10.6640625" style="164" customWidth="1"/>
    <col min="8424" max="8424" width="8.5" style="164" customWidth="1"/>
    <col min="8425" max="8434" width="0" style="164" hidden="1" customWidth="1"/>
    <col min="8435" max="8435" width="12.5" style="164" customWidth="1"/>
    <col min="8436" max="8436" width="13.6640625" style="164" customWidth="1"/>
    <col min="8437" max="8440" width="0" style="164" hidden="1" customWidth="1"/>
    <col min="8441" max="8441" width="13.6640625" style="164" customWidth="1"/>
    <col min="8442" max="8442" width="12.5" style="164" customWidth="1"/>
    <col min="8443" max="8443" width="15.5" style="164" customWidth="1"/>
    <col min="8444" max="8444" width="13.6640625" style="164" customWidth="1"/>
    <col min="8445" max="8445" width="10.83203125" style="164" customWidth="1"/>
    <col min="8446" max="8446" width="10.33203125" style="164" customWidth="1"/>
    <col min="8447" max="8448" width="9.83203125" style="164" customWidth="1"/>
    <col min="8449" max="8449" width="10.83203125" style="164" customWidth="1"/>
    <col min="8450" max="8450" width="9.33203125" style="164" customWidth="1"/>
    <col min="8451" max="8453" width="9.83203125" style="164" customWidth="1"/>
    <col min="8454" max="8454" width="14.5" style="164" customWidth="1"/>
    <col min="8455" max="8455" width="18.1640625" style="164" customWidth="1"/>
    <col min="8456" max="8456" width="13.1640625" style="164" customWidth="1"/>
    <col min="8457" max="8457" width="13" style="164" customWidth="1"/>
    <col min="8458" max="8458" width="11" style="164" customWidth="1"/>
    <col min="8459" max="8463" width="0" style="164" hidden="1" customWidth="1"/>
    <col min="8464" max="8464" width="14.33203125" style="164" customWidth="1"/>
    <col min="8465" max="8467" width="0" style="164" hidden="1" customWidth="1"/>
    <col min="8468" max="8468" width="14.33203125" style="164" customWidth="1"/>
    <col min="8469" max="8471" width="0" style="164" hidden="1" customWidth="1"/>
    <col min="8472" max="8472" width="14.33203125" style="164" customWidth="1"/>
    <col min="8473" max="8475" width="0" style="164" hidden="1" customWidth="1"/>
    <col min="8476" max="8477" width="14.33203125" style="164" customWidth="1"/>
    <col min="8478" max="8478" width="14.1640625" style="164" customWidth="1"/>
    <col min="8479" max="8479" width="10.5" style="164" customWidth="1"/>
    <col min="8480" max="8480" width="10.1640625" style="164" customWidth="1"/>
    <col min="8481" max="8481" width="11.6640625" style="164" customWidth="1"/>
    <col min="8482" max="8482" width="9.83203125" style="164" customWidth="1"/>
    <col min="8483" max="8483" width="10.1640625" style="164" customWidth="1"/>
    <col min="8484" max="8484" width="9" style="164" customWidth="1"/>
    <col min="8485" max="8485" width="9.83203125" style="164" customWidth="1"/>
    <col min="8486" max="8486" width="9" style="164" customWidth="1"/>
    <col min="8487" max="8675" width="9.33203125" style="164"/>
    <col min="8676" max="8676" width="13.5" style="164" customWidth="1"/>
    <col min="8677" max="8677" width="12.83203125" style="164" customWidth="1"/>
    <col min="8678" max="8678" width="11.1640625" style="164" customWidth="1"/>
    <col min="8679" max="8679" width="10.6640625" style="164" customWidth="1"/>
    <col min="8680" max="8680" width="8.5" style="164" customWidth="1"/>
    <col min="8681" max="8690" width="0" style="164" hidden="1" customWidth="1"/>
    <col min="8691" max="8691" width="12.5" style="164" customWidth="1"/>
    <col min="8692" max="8692" width="13.6640625" style="164" customWidth="1"/>
    <col min="8693" max="8696" width="0" style="164" hidden="1" customWidth="1"/>
    <col min="8697" max="8697" width="13.6640625" style="164" customWidth="1"/>
    <col min="8698" max="8698" width="12.5" style="164" customWidth="1"/>
    <col min="8699" max="8699" width="15.5" style="164" customWidth="1"/>
    <col min="8700" max="8700" width="13.6640625" style="164" customWidth="1"/>
    <col min="8701" max="8701" width="10.83203125" style="164" customWidth="1"/>
    <col min="8702" max="8702" width="10.33203125" style="164" customWidth="1"/>
    <col min="8703" max="8704" width="9.83203125" style="164" customWidth="1"/>
    <col min="8705" max="8705" width="10.83203125" style="164" customWidth="1"/>
    <col min="8706" max="8706" width="9.33203125" style="164" customWidth="1"/>
    <col min="8707" max="8709" width="9.83203125" style="164" customWidth="1"/>
    <col min="8710" max="8710" width="14.5" style="164" customWidth="1"/>
    <col min="8711" max="8711" width="18.1640625" style="164" customWidth="1"/>
    <col min="8712" max="8712" width="13.1640625" style="164" customWidth="1"/>
    <col min="8713" max="8713" width="13" style="164" customWidth="1"/>
    <col min="8714" max="8714" width="11" style="164" customWidth="1"/>
    <col min="8715" max="8719" width="0" style="164" hidden="1" customWidth="1"/>
    <col min="8720" max="8720" width="14.33203125" style="164" customWidth="1"/>
    <col min="8721" max="8723" width="0" style="164" hidden="1" customWidth="1"/>
    <col min="8724" max="8724" width="14.33203125" style="164" customWidth="1"/>
    <col min="8725" max="8727" width="0" style="164" hidden="1" customWidth="1"/>
    <col min="8728" max="8728" width="14.33203125" style="164" customWidth="1"/>
    <col min="8729" max="8731" width="0" style="164" hidden="1" customWidth="1"/>
    <col min="8732" max="8733" width="14.33203125" style="164" customWidth="1"/>
    <col min="8734" max="8734" width="14.1640625" style="164" customWidth="1"/>
    <col min="8735" max="8735" width="10.5" style="164" customWidth="1"/>
    <col min="8736" max="8736" width="10.1640625" style="164" customWidth="1"/>
    <col min="8737" max="8737" width="11.6640625" style="164" customWidth="1"/>
    <col min="8738" max="8738" width="9.83203125" style="164" customWidth="1"/>
    <col min="8739" max="8739" width="10.1640625" style="164" customWidth="1"/>
    <col min="8740" max="8740" width="9" style="164" customWidth="1"/>
    <col min="8741" max="8741" width="9.83203125" style="164" customWidth="1"/>
    <col min="8742" max="8742" width="9" style="164" customWidth="1"/>
    <col min="8743" max="8931" width="9.33203125" style="164"/>
    <col min="8932" max="8932" width="13.5" style="164" customWidth="1"/>
    <col min="8933" max="8933" width="12.83203125" style="164" customWidth="1"/>
    <col min="8934" max="8934" width="11.1640625" style="164" customWidth="1"/>
    <col min="8935" max="8935" width="10.6640625" style="164" customWidth="1"/>
    <col min="8936" max="8936" width="8.5" style="164" customWidth="1"/>
    <col min="8937" max="8946" width="0" style="164" hidden="1" customWidth="1"/>
    <col min="8947" max="8947" width="12.5" style="164" customWidth="1"/>
    <col min="8948" max="8948" width="13.6640625" style="164" customWidth="1"/>
    <col min="8949" max="8952" width="0" style="164" hidden="1" customWidth="1"/>
    <col min="8953" max="8953" width="13.6640625" style="164" customWidth="1"/>
    <col min="8954" max="8954" width="12.5" style="164" customWidth="1"/>
    <col min="8955" max="8955" width="15.5" style="164" customWidth="1"/>
    <col min="8956" max="8956" width="13.6640625" style="164" customWidth="1"/>
    <col min="8957" max="8957" width="10.83203125" style="164" customWidth="1"/>
    <col min="8958" max="8958" width="10.33203125" style="164" customWidth="1"/>
    <col min="8959" max="8960" width="9.83203125" style="164" customWidth="1"/>
    <col min="8961" max="8961" width="10.83203125" style="164" customWidth="1"/>
    <col min="8962" max="8962" width="9.33203125" style="164" customWidth="1"/>
    <col min="8963" max="8965" width="9.83203125" style="164" customWidth="1"/>
    <col min="8966" max="8966" width="14.5" style="164" customWidth="1"/>
    <col min="8967" max="8967" width="18.1640625" style="164" customWidth="1"/>
    <col min="8968" max="8968" width="13.1640625" style="164" customWidth="1"/>
    <col min="8969" max="8969" width="13" style="164" customWidth="1"/>
    <col min="8970" max="8970" width="11" style="164" customWidth="1"/>
    <col min="8971" max="8975" width="0" style="164" hidden="1" customWidth="1"/>
    <col min="8976" max="8976" width="14.33203125" style="164" customWidth="1"/>
    <col min="8977" max="8979" width="0" style="164" hidden="1" customWidth="1"/>
    <col min="8980" max="8980" width="14.33203125" style="164" customWidth="1"/>
    <col min="8981" max="8983" width="0" style="164" hidden="1" customWidth="1"/>
    <col min="8984" max="8984" width="14.33203125" style="164" customWidth="1"/>
    <col min="8985" max="8987" width="0" style="164" hidden="1" customWidth="1"/>
    <col min="8988" max="8989" width="14.33203125" style="164" customWidth="1"/>
    <col min="8990" max="8990" width="14.1640625" style="164" customWidth="1"/>
    <col min="8991" max="8991" width="10.5" style="164" customWidth="1"/>
    <col min="8992" max="8992" width="10.1640625" style="164" customWidth="1"/>
    <col min="8993" max="8993" width="11.6640625" style="164" customWidth="1"/>
    <col min="8994" max="8994" width="9.83203125" style="164" customWidth="1"/>
    <col min="8995" max="8995" width="10.1640625" style="164" customWidth="1"/>
    <col min="8996" max="8996" width="9" style="164" customWidth="1"/>
    <col min="8997" max="8997" width="9.83203125" style="164" customWidth="1"/>
    <col min="8998" max="8998" width="9" style="164" customWidth="1"/>
    <col min="8999" max="9187" width="9.33203125" style="164"/>
    <col min="9188" max="9188" width="13.5" style="164" customWidth="1"/>
    <col min="9189" max="9189" width="12.83203125" style="164" customWidth="1"/>
    <col min="9190" max="9190" width="11.1640625" style="164" customWidth="1"/>
    <col min="9191" max="9191" width="10.6640625" style="164" customWidth="1"/>
    <col min="9192" max="9192" width="8.5" style="164" customWidth="1"/>
    <col min="9193" max="9202" width="0" style="164" hidden="1" customWidth="1"/>
    <col min="9203" max="9203" width="12.5" style="164" customWidth="1"/>
    <col min="9204" max="9204" width="13.6640625" style="164" customWidth="1"/>
    <col min="9205" max="9208" width="0" style="164" hidden="1" customWidth="1"/>
    <col min="9209" max="9209" width="13.6640625" style="164" customWidth="1"/>
    <col min="9210" max="9210" width="12.5" style="164" customWidth="1"/>
    <col min="9211" max="9211" width="15.5" style="164" customWidth="1"/>
    <col min="9212" max="9212" width="13.6640625" style="164" customWidth="1"/>
    <col min="9213" max="9213" width="10.83203125" style="164" customWidth="1"/>
    <col min="9214" max="9214" width="10.33203125" style="164" customWidth="1"/>
    <col min="9215" max="9216" width="9.83203125" style="164" customWidth="1"/>
    <col min="9217" max="9217" width="10.83203125" style="164" customWidth="1"/>
    <col min="9218" max="9218" width="9.33203125" style="164" customWidth="1"/>
    <col min="9219" max="9221" width="9.83203125" style="164" customWidth="1"/>
    <col min="9222" max="9222" width="14.5" style="164" customWidth="1"/>
    <col min="9223" max="9223" width="18.1640625" style="164" customWidth="1"/>
    <col min="9224" max="9224" width="13.1640625" style="164" customWidth="1"/>
    <col min="9225" max="9225" width="13" style="164" customWidth="1"/>
    <col min="9226" max="9226" width="11" style="164" customWidth="1"/>
    <col min="9227" max="9231" width="0" style="164" hidden="1" customWidth="1"/>
    <col min="9232" max="9232" width="14.33203125" style="164" customWidth="1"/>
    <col min="9233" max="9235" width="0" style="164" hidden="1" customWidth="1"/>
    <col min="9236" max="9236" width="14.33203125" style="164" customWidth="1"/>
    <col min="9237" max="9239" width="0" style="164" hidden="1" customWidth="1"/>
    <col min="9240" max="9240" width="14.33203125" style="164" customWidth="1"/>
    <col min="9241" max="9243" width="0" style="164" hidden="1" customWidth="1"/>
    <col min="9244" max="9245" width="14.33203125" style="164" customWidth="1"/>
    <col min="9246" max="9246" width="14.1640625" style="164" customWidth="1"/>
    <col min="9247" max="9247" width="10.5" style="164" customWidth="1"/>
    <col min="9248" max="9248" width="10.1640625" style="164" customWidth="1"/>
    <col min="9249" max="9249" width="11.6640625" style="164" customWidth="1"/>
    <col min="9250" max="9250" width="9.83203125" style="164" customWidth="1"/>
    <col min="9251" max="9251" width="10.1640625" style="164" customWidth="1"/>
    <col min="9252" max="9252" width="9" style="164" customWidth="1"/>
    <col min="9253" max="9253" width="9.83203125" style="164" customWidth="1"/>
    <col min="9254" max="9254" width="9" style="164" customWidth="1"/>
    <col min="9255" max="9443" width="9.33203125" style="164"/>
    <col min="9444" max="9444" width="13.5" style="164" customWidth="1"/>
    <col min="9445" max="9445" width="12.83203125" style="164" customWidth="1"/>
    <col min="9446" max="9446" width="11.1640625" style="164" customWidth="1"/>
    <col min="9447" max="9447" width="10.6640625" style="164" customWidth="1"/>
    <col min="9448" max="9448" width="8.5" style="164" customWidth="1"/>
    <col min="9449" max="9458" width="0" style="164" hidden="1" customWidth="1"/>
    <col min="9459" max="9459" width="12.5" style="164" customWidth="1"/>
    <col min="9460" max="9460" width="13.6640625" style="164" customWidth="1"/>
    <col min="9461" max="9464" width="0" style="164" hidden="1" customWidth="1"/>
    <col min="9465" max="9465" width="13.6640625" style="164" customWidth="1"/>
    <col min="9466" max="9466" width="12.5" style="164" customWidth="1"/>
    <col min="9467" max="9467" width="15.5" style="164" customWidth="1"/>
    <col min="9468" max="9468" width="13.6640625" style="164" customWidth="1"/>
    <col min="9469" max="9469" width="10.83203125" style="164" customWidth="1"/>
    <col min="9470" max="9470" width="10.33203125" style="164" customWidth="1"/>
    <col min="9471" max="9472" width="9.83203125" style="164" customWidth="1"/>
    <col min="9473" max="9473" width="10.83203125" style="164" customWidth="1"/>
    <col min="9474" max="9474" width="9.33203125" style="164" customWidth="1"/>
    <col min="9475" max="9477" width="9.83203125" style="164" customWidth="1"/>
    <col min="9478" max="9478" width="14.5" style="164" customWidth="1"/>
    <col min="9479" max="9479" width="18.1640625" style="164" customWidth="1"/>
    <col min="9480" max="9480" width="13.1640625" style="164" customWidth="1"/>
    <col min="9481" max="9481" width="13" style="164" customWidth="1"/>
    <col min="9482" max="9482" width="11" style="164" customWidth="1"/>
    <col min="9483" max="9487" width="0" style="164" hidden="1" customWidth="1"/>
    <col min="9488" max="9488" width="14.33203125" style="164" customWidth="1"/>
    <col min="9489" max="9491" width="0" style="164" hidden="1" customWidth="1"/>
    <col min="9492" max="9492" width="14.33203125" style="164" customWidth="1"/>
    <col min="9493" max="9495" width="0" style="164" hidden="1" customWidth="1"/>
    <col min="9496" max="9496" width="14.33203125" style="164" customWidth="1"/>
    <col min="9497" max="9499" width="0" style="164" hidden="1" customWidth="1"/>
    <col min="9500" max="9501" width="14.33203125" style="164" customWidth="1"/>
    <col min="9502" max="9502" width="14.1640625" style="164" customWidth="1"/>
    <col min="9503" max="9503" width="10.5" style="164" customWidth="1"/>
    <col min="9504" max="9504" width="10.1640625" style="164" customWidth="1"/>
    <col min="9505" max="9505" width="11.6640625" style="164" customWidth="1"/>
    <col min="9506" max="9506" width="9.83203125" style="164" customWidth="1"/>
    <col min="9507" max="9507" width="10.1640625" style="164" customWidth="1"/>
    <col min="9508" max="9508" width="9" style="164" customWidth="1"/>
    <col min="9509" max="9509" width="9.83203125" style="164" customWidth="1"/>
    <col min="9510" max="9510" width="9" style="164" customWidth="1"/>
    <col min="9511" max="9699" width="9.33203125" style="164"/>
    <col min="9700" max="9700" width="13.5" style="164" customWidth="1"/>
    <col min="9701" max="9701" width="12.83203125" style="164" customWidth="1"/>
    <col min="9702" max="9702" width="11.1640625" style="164" customWidth="1"/>
    <col min="9703" max="9703" width="10.6640625" style="164" customWidth="1"/>
    <col min="9704" max="9704" width="8.5" style="164" customWidth="1"/>
    <col min="9705" max="9714" width="0" style="164" hidden="1" customWidth="1"/>
    <col min="9715" max="9715" width="12.5" style="164" customWidth="1"/>
    <col min="9716" max="9716" width="13.6640625" style="164" customWidth="1"/>
    <col min="9717" max="9720" width="0" style="164" hidden="1" customWidth="1"/>
    <col min="9721" max="9721" width="13.6640625" style="164" customWidth="1"/>
    <col min="9722" max="9722" width="12.5" style="164" customWidth="1"/>
    <col min="9723" max="9723" width="15.5" style="164" customWidth="1"/>
    <col min="9724" max="9724" width="13.6640625" style="164" customWidth="1"/>
    <col min="9725" max="9725" width="10.83203125" style="164" customWidth="1"/>
    <col min="9726" max="9726" width="10.33203125" style="164" customWidth="1"/>
    <col min="9727" max="9728" width="9.83203125" style="164" customWidth="1"/>
    <col min="9729" max="9729" width="10.83203125" style="164" customWidth="1"/>
    <col min="9730" max="9730" width="9.33203125" style="164" customWidth="1"/>
    <col min="9731" max="9733" width="9.83203125" style="164" customWidth="1"/>
    <col min="9734" max="9734" width="14.5" style="164" customWidth="1"/>
    <col min="9735" max="9735" width="18.1640625" style="164" customWidth="1"/>
    <col min="9736" max="9736" width="13.1640625" style="164" customWidth="1"/>
    <col min="9737" max="9737" width="13" style="164" customWidth="1"/>
    <col min="9738" max="9738" width="11" style="164" customWidth="1"/>
    <col min="9739" max="9743" width="0" style="164" hidden="1" customWidth="1"/>
    <col min="9744" max="9744" width="14.33203125" style="164" customWidth="1"/>
    <col min="9745" max="9747" width="0" style="164" hidden="1" customWidth="1"/>
    <col min="9748" max="9748" width="14.33203125" style="164" customWidth="1"/>
    <col min="9749" max="9751" width="0" style="164" hidden="1" customWidth="1"/>
    <col min="9752" max="9752" width="14.33203125" style="164" customWidth="1"/>
    <col min="9753" max="9755" width="0" style="164" hidden="1" customWidth="1"/>
    <col min="9756" max="9757" width="14.33203125" style="164" customWidth="1"/>
    <col min="9758" max="9758" width="14.1640625" style="164" customWidth="1"/>
    <col min="9759" max="9759" width="10.5" style="164" customWidth="1"/>
    <col min="9760" max="9760" width="10.1640625" style="164" customWidth="1"/>
    <col min="9761" max="9761" width="11.6640625" style="164" customWidth="1"/>
    <col min="9762" max="9762" width="9.83203125" style="164" customWidth="1"/>
    <col min="9763" max="9763" width="10.1640625" style="164" customWidth="1"/>
    <col min="9764" max="9764" width="9" style="164" customWidth="1"/>
    <col min="9765" max="9765" width="9.83203125" style="164" customWidth="1"/>
    <col min="9766" max="9766" width="9" style="164" customWidth="1"/>
    <col min="9767" max="9955" width="9.33203125" style="164"/>
    <col min="9956" max="9956" width="13.5" style="164" customWidth="1"/>
    <col min="9957" max="9957" width="12.83203125" style="164" customWidth="1"/>
    <col min="9958" max="9958" width="11.1640625" style="164" customWidth="1"/>
    <col min="9959" max="9959" width="10.6640625" style="164" customWidth="1"/>
    <col min="9960" max="9960" width="8.5" style="164" customWidth="1"/>
    <col min="9961" max="9970" width="0" style="164" hidden="1" customWidth="1"/>
    <col min="9971" max="9971" width="12.5" style="164" customWidth="1"/>
    <col min="9972" max="9972" width="13.6640625" style="164" customWidth="1"/>
    <col min="9973" max="9976" width="0" style="164" hidden="1" customWidth="1"/>
    <col min="9977" max="9977" width="13.6640625" style="164" customWidth="1"/>
    <col min="9978" max="9978" width="12.5" style="164" customWidth="1"/>
    <col min="9979" max="9979" width="15.5" style="164" customWidth="1"/>
    <col min="9980" max="9980" width="13.6640625" style="164" customWidth="1"/>
    <col min="9981" max="9981" width="10.83203125" style="164" customWidth="1"/>
    <col min="9982" max="9982" width="10.33203125" style="164" customWidth="1"/>
    <col min="9983" max="9984" width="9.83203125" style="164" customWidth="1"/>
    <col min="9985" max="9985" width="10.83203125" style="164" customWidth="1"/>
    <col min="9986" max="9986" width="9.33203125" style="164" customWidth="1"/>
    <col min="9987" max="9989" width="9.83203125" style="164" customWidth="1"/>
    <col min="9990" max="9990" width="14.5" style="164" customWidth="1"/>
    <col min="9991" max="9991" width="18.1640625" style="164" customWidth="1"/>
    <col min="9992" max="9992" width="13.1640625" style="164" customWidth="1"/>
    <col min="9993" max="9993" width="13" style="164" customWidth="1"/>
    <col min="9994" max="9994" width="11" style="164" customWidth="1"/>
    <col min="9995" max="9999" width="0" style="164" hidden="1" customWidth="1"/>
    <col min="10000" max="10000" width="14.33203125" style="164" customWidth="1"/>
    <col min="10001" max="10003" width="0" style="164" hidden="1" customWidth="1"/>
    <col min="10004" max="10004" width="14.33203125" style="164" customWidth="1"/>
    <col min="10005" max="10007" width="0" style="164" hidden="1" customWidth="1"/>
    <col min="10008" max="10008" width="14.33203125" style="164" customWidth="1"/>
    <col min="10009" max="10011" width="0" style="164" hidden="1" customWidth="1"/>
    <col min="10012" max="10013" width="14.33203125" style="164" customWidth="1"/>
    <col min="10014" max="10014" width="14.1640625" style="164" customWidth="1"/>
    <col min="10015" max="10015" width="10.5" style="164" customWidth="1"/>
    <col min="10016" max="10016" width="10.1640625" style="164" customWidth="1"/>
    <col min="10017" max="10017" width="11.6640625" style="164" customWidth="1"/>
    <col min="10018" max="10018" width="9.83203125" style="164" customWidth="1"/>
    <col min="10019" max="10019" width="10.1640625" style="164" customWidth="1"/>
    <col min="10020" max="10020" width="9" style="164" customWidth="1"/>
    <col min="10021" max="10021" width="9.83203125" style="164" customWidth="1"/>
    <col min="10022" max="10022" width="9" style="164" customWidth="1"/>
    <col min="10023" max="10211" width="9.33203125" style="164"/>
    <col min="10212" max="10212" width="13.5" style="164" customWidth="1"/>
    <col min="10213" max="10213" width="12.83203125" style="164" customWidth="1"/>
    <col min="10214" max="10214" width="11.1640625" style="164" customWidth="1"/>
    <col min="10215" max="10215" width="10.6640625" style="164" customWidth="1"/>
    <col min="10216" max="10216" width="8.5" style="164" customWidth="1"/>
    <col min="10217" max="10226" width="0" style="164" hidden="1" customWidth="1"/>
    <col min="10227" max="10227" width="12.5" style="164" customWidth="1"/>
    <col min="10228" max="10228" width="13.6640625" style="164" customWidth="1"/>
    <col min="10229" max="10232" width="0" style="164" hidden="1" customWidth="1"/>
    <col min="10233" max="10233" width="13.6640625" style="164" customWidth="1"/>
    <col min="10234" max="10234" width="12.5" style="164" customWidth="1"/>
    <col min="10235" max="10235" width="15.5" style="164" customWidth="1"/>
    <col min="10236" max="10236" width="13.6640625" style="164" customWidth="1"/>
    <col min="10237" max="10237" width="10.83203125" style="164" customWidth="1"/>
    <col min="10238" max="10238" width="10.33203125" style="164" customWidth="1"/>
    <col min="10239" max="10240" width="9.83203125" style="164" customWidth="1"/>
    <col min="10241" max="10241" width="10.83203125" style="164" customWidth="1"/>
    <col min="10242" max="10242" width="9.33203125" style="164" customWidth="1"/>
    <col min="10243" max="10245" width="9.83203125" style="164" customWidth="1"/>
    <col min="10246" max="10246" width="14.5" style="164" customWidth="1"/>
    <col min="10247" max="10247" width="18.1640625" style="164" customWidth="1"/>
    <col min="10248" max="10248" width="13.1640625" style="164" customWidth="1"/>
    <col min="10249" max="10249" width="13" style="164" customWidth="1"/>
    <col min="10250" max="10250" width="11" style="164" customWidth="1"/>
    <col min="10251" max="10255" width="0" style="164" hidden="1" customWidth="1"/>
    <col min="10256" max="10256" width="14.33203125" style="164" customWidth="1"/>
    <col min="10257" max="10259" width="0" style="164" hidden="1" customWidth="1"/>
    <col min="10260" max="10260" width="14.33203125" style="164" customWidth="1"/>
    <col min="10261" max="10263" width="0" style="164" hidden="1" customWidth="1"/>
    <col min="10264" max="10264" width="14.33203125" style="164" customWidth="1"/>
    <col min="10265" max="10267" width="0" style="164" hidden="1" customWidth="1"/>
    <col min="10268" max="10269" width="14.33203125" style="164" customWidth="1"/>
    <col min="10270" max="10270" width="14.1640625" style="164" customWidth="1"/>
    <col min="10271" max="10271" width="10.5" style="164" customWidth="1"/>
    <col min="10272" max="10272" width="10.1640625" style="164" customWidth="1"/>
    <col min="10273" max="10273" width="11.6640625" style="164" customWidth="1"/>
    <col min="10274" max="10274" width="9.83203125" style="164" customWidth="1"/>
    <col min="10275" max="10275" width="10.1640625" style="164" customWidth="1"/>
    <col min="10276" max="10276" width="9" style="164" customWidth="1"/>
    <col min="10277" max="10277" width="9.83203125" style="164" customWidth="1"/>
    <col min="10278" max="10278" width="9" style="164" customWidth="1"/>
    <col min="10279" max="10467" width="9.33203125" style="164"/>
    <col min="10468" max="10468" width="13.5" style="164" customWidth="1"/>
    <col min="10469" max="10469" width="12.83203125" style="164" customWidth="1"/>
    <col min="10470" max="10470" width="11.1640625" style="164" customWidth="1"/>
    <col min="10471" max="10471" width="10.6640625" style="164" customWidth="1"/>
    <col min="10472" max="10472" width="8.5" style="164" customWidth="1"/>
    <col min="10473" max="10482" width="0" style="164" hidden="1" customWidth="1"/>
    <col min="10483" max="10483" width="12.5" style="164" customWidth="1"/>
    <col min="10484" max="10484" width="13.6640625" style="164" customWidth="1"/>
    <col min="10485" max="10488" width="0" style="164" hidden="1" customWidth="1"/>
    <col min="10489" max="10489" width="13.6640625" style="164" customWidth="1"/>
    <col min="10490" max="10490" width="12.5" style="164" customWidth="1"/>
    <col min="10491" max="10491" width="15.5" style="164" customWidth="1"/>
    <col min="10492" max="10492" width="13.6640625" style="164" customWidth="1"/>
    <col min="10493" max="10493" width="10.83203125" style="164" customWidth="1"/>
    <col min="10494" max="10494" width="10.33203125" style="164" customWidth="1"/>
    <col min="10495" max="10496" width="9.83203125" style="164" customWidth="1"/>
    <col min="10497" max="10497" width="10.83203125" style="164" customWidth="1"/>
    <col min="10498" max="10498" width="9.33203125" style="164" customWidth="1"/>
    <col min="10499" max="10501" width="9.83203125" style="164" customWidth="1"/>
    <col min="10502" max="10502" width="14.5" style="164" customWidth="1"/>
    <col min="10503" max="10503" width="18.1640625" style="164" customWidth="1"/>
    <col min="10504" max="10504" width="13.1640625" style="164" customWidth="1"/>
    <col min="10505" max="10505" width="13" style="164" customWidth="1"/>
    <col min="10506" max="10506" width="11" style="164" customWidth="1"/>
    <col min="10507" max="10511" width="0" style="164" hidden="1" customWidth="1"/>
    <col min="10512" max="10512" width="14.33203125" style="164" customWidth="1"/>
    <col min="10513" max="10515" width="0" style="164" hidden="1" customWidth="1"/>
    <col min="10516" max="10516" width="14.33203125" style="164" customWidth="1"/>
    <col min="10517" max="10519" width="0" style="164" hidden="1" customWidth="1"/>
    <col min="10520" max="10520" width="14.33203125" style="164" customWidth="1"/>
    <col min="10521" max="10523" width="0" style="164" hidden="1" customWidth="1"/>
    <col min="10524" max="10525" width="14.33203125" style="164" customWidth="1"/>
    <col min="10526" max="10526" width="14.1640625" style="164" customWidth="1"/>
    <col min="10527" max="10527" width="10.5" style="164" customWidth="1"/>
    <col min="10528" max="10528" width="10.1640625" style="164" customWidth="1"/>
    <col min="10529" max="10529" width="11.6640625" style="164" customWidth="1"/>
    <col min="10530" max="10530" width="9.83203125" style="164" customWidth="1"/>
    <col min="10531" max="10531" width="10.1640625" style="164" customWidth="1"/>
    <col min="10532" max="10532" width="9" style="164" customWidth="1"/>
    <col min="10533" max="10533" width="9.83203125" style="164" customWidth="1"/>
    <col min="10534" max="10534" width="9" style="164" customWidth="1"/>
    <col min="10535" max="10723" width="9.33203125" style="164"/>
    <col min="10724" max="10724" width="13.5" style="164" customWidth="1"/>
    <col min="10725" max="10725" width="12.83203125" style="164" customWidth="1"/>
    <col min="10726" max="10726" width="11.1640625" style="164" customWidth="1"/>
    <col min="10727" max="10727" width="10.6640625" style="164" customWidth="1"/>
    <col min="10728" max="10728" width="8.5" style="164" customWidth="1"/>
    <col min="10729" max="10738" width="0" style="164" hidden="1" customWidth="1"/>
    <col min="10739" max="10739" width="12.5" style="164" customWidth="1"/>
    <col min="10740" max="10740" width="13.6640625" style="164" customWidth="1"/>
    <col min="10741" max="10744" width="0" style="164" hidden="1" customWidth="1"/>
    <col min="10745" max="10745" width="13.6640625" style="164" customWidth="1"/>
    <col min="10746" max="10746" width="12.5" style="164" customWidth="1"/>
    <col min="10747" max="10747" width="15.5" style="164" customWidth="1"/>
    <col min="10748" max="10748" width="13.6640625" style="164" customWidth="1"/>
    <col min="10749" max="10749" width="10.83203125" style="164" customWidth="1"/>
    <col min="10750" max="10750" width="10.33203125" style="164" customWidth="1"/>
    <col min="10751" max="10752" width="9.83203125" style="164" customWidth="1"/>
    <col min="10753" max="10753" width="10.83203125" style="164" customWidth="1"/>
    <col min="10754" max="10754" width="9.33203125" style="164" customWidth="1"/>
    <col min="10755" max="10757" width="9.83203125" style="164" customWidth="1"/>
    <col min="10758" max="10758" width="14.5" style="164" customWidth="1"/>
    <col min="10759" max="10759" width="18.1640625" style="164" customWidth="1"/>
    <col min="10760" max="10760" width="13.1640625" style="164" customWidth="1"/>
    <col min="10761" max="10761" width="13" style="164" customWidth="1"/>
    <col min="10762" max="10762" width="11" style="164" customWidth="1"/>
    <col min="10763" max="10767" width="0" style="164" hidden="1" customWidth="1"/>
    <col min="10768" max="10768" width="14.33203125" style="164" customWidth="1"/>
    <col min="10769" max="10771" width="0" style="164" hidden="1" customWidth="1"/>
    <col min="10772" max="10772" width="14.33203125" style="164" customWidth="1"/>
    <col min="10773" max="10775" width="0" style="164" hidden="1" customWidth="1"/>
    <col min="10776" max="10776" width="14.33203125" style="164" customWidth="1"/>
    <col min="10777" max="10779" width="0" style="164" hidden="1" customWidth="1"/>
    <col min="10780" max="10781" width="14.33203125" style="164" customWidth="1"/>
    <col min="10782" max="10782" width="14.1640625" style="164" customWidth="1"/>
    <col min="10783" max="10783" width="10.5" style="164" customWidth="1"/>
    <col min="10784" max="10784" width="10.1640625" style="164" customWidth="1"/>
    <col min="10785" max="10785" width="11.6640625" style="164" customWidth="1"/>
    <col min="10786" max="10786" width="9.83203125" style="164" customWidth="1"/>
    <col min="10787" max="10787" width="10.1640625" style="164" customWidth="1"/>
    <col min="10788" max="10788" width="9" style="164" customWidth="1"/>
    <col min="10789" max="10789" width="9.83203125" style="164" customWidth="1"/>
    <col min="10790" max="10790" width="9" style="164" customWidth="1"/>
    <col min="10791" max="10979" width="9.33203125" style="164"/>
    <col min="10980" max="10980" width="13.5" style="164" customWidth="1"/>
    <col min="10981" max="10981" width="12.83203125" style="164" customWidth="1"/>
    <col min="10982" max="10982" width="11.1640625" style="164" customWidth="1"/>
    <col min="10983" max="10983" width="10.6640625" style="164" customWidth="1"/>
    <col min="10984" max="10984" width="8.5" style="164" customWidth="1"/>
    <col min="10985" max="10994" width="0" style="164" hidden="1" customWidth="1"/>
    <col min="10995" max="10995" width="12.5" style="164" customWidth="1"/>
    <col min="10996" max="10996" width="13.6640625" style="164" customWidth="1"/>
    <col min="10997" max="11000" width="0" style="164" hidden="1" customWidth="1"/>
    <col min="11001" max="11001" width="13.6640625" style="164" customWidth="1"/>
    <col min="11002" max="11002" width="12.5" style="164" customWidth="1"/>
    <col min="11003" max="11003" width="15.5" style="164" customWidth="1"/>
    <col min="11004" max="11004" width="13.6640625" style="164" customWidth="1"/>
    <col min="11005" max="11005" width="10.83203125" style="164" customWidth="1"/>
    <col min="11006" max="11006" width="10.33203125" style="164" customWidth="1"/>
    <col min="11007" max="11008" width="9.83203125" style="164" customWidth="1"/>
    <col min="11009" max="11009" width="10.83203125" style="164" customWidth="1"/>
    <col min="11010" max="11010" width="9.33203125" style="164" customWidth="1"/>
    <col min="11011" max="11013" width="9.83203125" style="164" customWidth="1"/>
    <col min="11014" max="11014" width="14.5" style="164" customWidth="1"/>
    <col min="11015" max="11015" width="18.1640625" style="164" customWidth="1"/>
    <col min="11016" max="11016" width="13.1640625" style="164" customWidth="1"/>
    <col min="11017" max="11017" width="13" style="164" customWidth="1"/>
    <col min="11018" max="11018" width="11" style="164" customWidth="1"/>
    <col min="11019" max="11023" width="0" style="164" hidden="1" customWidth="1"/>
    <col min="11024" max="11024" width="14.33203125" style="164" customWidth="1"/>
    <col min="11025" max="11027" width="0" style="164" hidden="1" customWidth="1"/>
    <col min="11028" max="11028" width="14.33203125" style="164" customWidth="1"/>
    <col min="11029" max="11031" width="0" style="164" hidden="1" customWidth="1"/>
    <col min="11032" max="11032" width="14.33203125" style="164" customWidth="1"/>
    <col min="11033" max="11035" width="0" style="164" hidden="1" customWidth="1"/>
    <col min="11036" max="11037" width="14.33203125" style="164" customWidth="1"/>
    <col min="11038" max="11038" width="14.1640625" style="164" customWidth="1"/>
    <col min="11039" max="11039" width="10.5" style="164" customWidth="1"/>
    <col min="11040" max="11040" width="10.1640625" style="164" customWidth="1"/>
    <col min="11041" max="11041" width="11.6640625" style="164" customWidth="1"/>
    <col min="11042" max="11042" width="9.83203125" style="164" customWidth="1"/>
    <col min="11043" max="11043" width="10.1640625" style="164" customWidth="1"/>
    <col min="11044" max="11044" width="9" style="164" customWidth="1"/>
    <col min="11045" max="11045" width="9.83203125" style="164" customWidth="1"/>
    <col min="11046" max="11046" width="9" style="164" customWidth="1"/>
    <col min="11047" max="11235" width="9.33203125" style="164"/>
    <col min="11236" max="11236" width="13.5" style="164" customWidth="1"/>
    <col min="11237" max="11237" width="12.83203125" style="164" customWidth="1"/>
    <col min="11238" max="11238" width="11.1640625" style="164" customWidth="1"/>
    <col min="11239" max="11239" width="10.6640625" style="164" customWidth="1"/>
    <col min="11240" max="11240" width="8.5" style="164" customWidth="1"/>
    <col min="11241" max="11250" width="0" style="164" hidden="1" customWidth="1"/>
    <col min="11251" max="11251" width="12.5" style="164" customWidth="1"/>
    <col min="11252" max="11252" width="13.6640625" style="164" customWidth="1"/>
    <col min="11253" max="11256" width="0" style="164" hidden="1" customWidth="1"/>
    <col min="11257" max="11257" width="13.6640625" style="164" customWidth="1"/>
    <col min="11258" max="11258" width="12.5" style="164" customWidth="1"/>
    <col min="11259" max="11259" width="15.5" style="164" customWidth="1"/>
    <col min="11260" max="11260" width="13.6640625" style="164" customWidth="1"/>
    <col min="11261" max="11261" width="10.83203125" style="164" customWidth="1"/>
    <col min="11262" max="11262" width="10.33203125" style="164" customWidth="1"/>
    <col min="11263" max="11264" width="9.83203125" style="164" customWidth="1"/>
    <col min="11265" max="11265" width="10.83203125" style="164" customWidth="1"/>
    <col min="11266" max="11266" width="9.33203125" style="164" customWidth="1"/>
    <col min="11267" max="11269" width="9.83203125" style="164" customWidth="1"/>
    <col min="11270" max="11270" width="14.5" style="164" customWidth="1"/>
    <col min="11271" max="11271" width="18.1640625" style="164" customWidth="1"/>
    <col min="11272" max="11272" width="13.1640625" style="164" customWidth="1"/>
    <col min="11273" max="11273" width="13" style="164" customWidth="1"/>
    <col min="11274" max="11274" width="11" style="164" customWidth="1"/>
    <col min="11275" max="11279" width="0" style="164" hidden="1" customWidth="1"/>
    <col min="11280" max="11280" width="14.33203125" style="164" customWidth="1"/>
    <col min="11281" max="11283" width="0" style="164" hidden="1" customWidth="1"/>
    <col min="11284" max="11284" width="14.33203125" style="164" customWidth="1"/>
    <col min="11285" max="11287" width="0" style="164" hidden="1" customWidth="1"/>
    <col min="11288" max="11288" width="14.33203125" style="164" customWidth="1"/>
    <col min="11289" max="11291" width="0" style="164" hidden="1" customWidth="1"/>
    <col min="11292" max="11293" width="14.33203125" style="164" customWidth="1"/>
    <col min="11294" max="11294" width="14.1640625" style="164" customWidth="1"/>
    <col min="11295" max="11295" width="10.5" style="164" customWidth="1"/>
    <col min="11296" max="11296" width="10.1640625" style="164" customWidth="1"/>
    <col min="11297" max="11297" width="11.6640625" style="164" customWidth="1"/>
    <col min="11298" max="11298" width="9.83203125" style="164" customWidth="1"/>
    <col min="11299" max="11299" width="10.1640625" style="164" customWidth="1"/>
    <col min="11300" max="11300" width="9" style="164" customWidth="1"/>
    <col min="11301" max="11301" width="9.83203125" style="164" customWidth="1"/>
    <col min="11302" max="11302" width="9" style="164" customWidth="1"/>
    <col min="11303" max="11491" width="9.33203125" style="164"/>
    <col min="11492" max="11492" width="13.5" style="164" customWidth="1"/>
    <col min="11493" max="11493" width="12.83203125" style="164" customWidth="1"/>
    <col min="11494" max="11494" width="11.1640625" style="164" customWidth="1"/>
    <col min="11495" max="11495" width="10.6640625" style="164" customWidth="1"/>
    <col min="11496" max="11496" width="8.5" style="164" customWidth="1"/>
    <col min="11497" max="11506" width="0" style="164" hidden="1" customWidth="1"/>
    <col min="11507" max="11507" width="12.5" style="164" customWidth="1"/>
    <col min="11508" max="11508" width="13.6640625" style="164" customWidth="1"/>
    <col min="11509" max="11512" width="0" style="164" hidden="1" customWidth="1"/>
    <col min="11513" max="11513" width="13.6640625" style="164" customWidth="1"/>
    <col min="11514" max="11514" width="12.5" style="164" customWidth="1"/>
    <col min="11515" max="11515" width="15.5" style="164" customWidth="1"/>
    <col min="11516" max="11516" width="13.6640625" style="164" customWidth="1"/>
    <col min="11517" max="11517" width="10.83203125" style="164" customWidth="1"/>
    <col min="11518" max="11518" width="10.33203125" style="164" customWidth="1"/>
    <col min="11519" max="11520" width="9.83203125" style="164" customWidth="1"/>
    <col min="11521" max="11521" width="10.83203125" style="164" customWidth="1"/>
    <col min="11522" max="11522" width="9.33203125" style="164" customWidth="1"/>
    <col min="11523" max="11525" width="9.83203125" style="164" customWidth="1"/>
    <col min="11526" max="11526" width="14.5" style="164" customWidth="1"/>
    <col min="11527" max="11527" width="18.1640625" style="164" customWidth="1"/>
    <col min="11528" max="11528" width="13.1640625" style="164" customWidth="1"/>
    <col min="11529" max="11529" width="13" style="164" customWidth="1"/>
    <col min="11530" max="11530" width="11" style="164" customWidth="1"/>
    <col min="11531" max="11535" width="0" style="164" hidden="1" customWidth="1"/>
    <col min="11536" max="11536" width="14.33203125" style="164" customWidth="1"/>
    <col min="11537" max="11539" width="0" style="164" hidden="1" customWidth="1"/>
    <col min="11540" max="11540" width="14.33203125" style="164" customWidth="1"/>
    <col min="11541" max="11543" width="0" style="164" hidden="1" customWidth="1"/>
    <col min="11544" max="11544" width="14.33203125" style="164" customWidth="1"/>
    <col min="11545" max="11547" width="0" style="164" hidden="1" customWidth="1"/>
    <col min="11548" max="11549" width="14.33203125" style="164" customWidth="1"/>
    <col min="11550" max="11550" width="14.1640625" style="164" customWidth="1"/>
    <col min="11551" max="11551" width="10.5" style="164" customWidth="1"/>
    <col min="11552" max="11552" width="10.1640625" style="164" customWidth="1"/>
    <col min="11553" max="11553" width="11.6640625" style="164" customWidth="1"/>
    <col min="11554" max="11554" width="9.83203125" style="164" customWidth="1"/>
    <col min="11555" max="11555" width="10.1640625" style="164" customWidth="1"/>
    <col min="11556" max="11556" width="9" style="164" customWidth="1"/>
    <col min="11557" max="11557" width="9.83203125" style="164" customWidth="1"/>
    <col min="11558" max="11558" width="9" style="164" customWidth="1"/>
    <col min="11559" max="11747" width="9.33203125" style="164"/>
    <col min="11748" max="11748" width="13.5" style="164" customWidth="1"/>
    <col min="11749" max="11749" width="12.83203125" style="164" customWidth="1"/>
    <col min="11750" max="11750" width="11.1640625" style="164" customWidth="1"/>
    <col min="11751" max="11751" width="10.6640625" style="164" customWidth="1"/>
    <col min="11752" max="11752" width="8.5" style="164" customWidth="1"/>
    <col min="11753" max="11762" width="0" style="164" hidden="1" customWidth="1"/>
    <col min="11763" max="11763" width="12.5" style="164" customWidth="1"/>
    <col min="11764" max="11764" width="13.6640625" style="164" customWidth="1"/>
    <col min="11765" max="11768" width="0" style="164" hidden="1" customWidth="1"/>
    <col min="11769" max="11769" width="13.6640625" style="164" customWidth="1"/>
    <col min="11770" max="11770" width="12.5" style="164" customWidth="1"/>
    <col min="11771" max="11771" width="15.5" style="164" customWidth="1"/>
    <col min="11772" max="11772" width="13.6640625" style="164" customWidth="1"/>
    <col min="11773" max="11773" width="10.83203125" style="164" customWidth="1"/>
    <col min="11774" max="11774" width="10.33203125" style="164" customWidth="1"/>
    <col min="11775" max="11776" width="9.83203125" style="164" customWidth="1"/>
    <col min="11777" max="11777" width="10.83203125" style="164" customWidth="1"/>
    <col min="11778" max="11778" width="9.33203125" style="164" customWidth="1"/>
    <col min="11779" max="11781" width="9.83203125" style="164" customWidth="1"/>
    <col min="11782" max="11782" width="14.5" style="164" customWidth="1"/>
    <col min="11783" max="11783" width="18.1640625" style="164" customWidth="1"/>
    <col min="11784" max="11784" width="13.1640625" style="164" customWidth="1"/>
    <col min="11785" max="11785" width="13" style="164" customWidth="1"/>
    <col min="11786" max="11786" width="11" style="164" customWidth="1"/>
    <col min="11787" max="11791" width="0" style="164" hidden="1" customWidth="1"/>
    <col min="11792" max="11792" width="14.33203125" style="164" customWidth="1"/>
    <col min="11793" max="11795" width="0" style="164" hidden="1" customWidth="1"/>
    <col min="11796" max="11796" width="14.33203125" style="164" customWidth="1"/>
    <col min="11797" max="11799" width="0" style="164" hidden="1" customWidth="1"/>
    <col min="11800" max="11800" width="14.33203125" style="164" customWidth="1"/>
    <col min="11801" max="11803" width="0" style="164" hidden="1" customWidth="1"/>
    <col min="11804" max="11805" width="14.33203125" style="164" customWidth="1"/>
    <col min="11806" max="11806" width="14.1640625" style="164" customWidth="1"/>
    <col min="11807" max="11807" width="10.5" style="164" customWidth="1"/>
    <col min="11808" max="11808" width="10.1640625" style="164" customWidth="1"/>
    <col min="11809" max="11809" width="11.6640625" style="164" customWidth="1"/>
    <col min="11810" max="11810" width="9.83203125" style="164" customWidth="1"/>
    <col min="11811" max="11811" width="10.1640625" style="164" customWidth="1"/>
    <col min="11812" max="11812" width="9" style="164" customWidth="1"/>
    <col min="11813" max="11813" width="9.83203125" style="164" customWidth="1"/>
    <col min="11814" max="11814" width="9" style="164" customWidth="1"/>
    <col min="11815" max="12003" width="9.33203125" style="164"/>
    <col min="12004" max="12004" width="13.5" style="164" customWidth="1"/>
    <col min="12005" max="12005" width="12.83203125" style="164" customWidth="1"/>
    <col min="12006" max="12006" width="11.1640625" style="164" customWidth="1"/>
    <col min="12007" max="12007" width="10.6640625" style="164" customWidth="1"/>
    <col min="12008" max="12008" width="8.5" style="164" customWidth="1"/>
    <col min="12009" max="12018" width="0" style="164" hidden="1" customWidth="1"/>
    <col min="12019" max="12019" width="12.5" style="164" customWidth="1"/>
    <col min="12020" max="12020" width="13.6640625" style="164" customWidth="1"/>
    <col min="12021" max="12024" width="0" style="164" hidden="1" customWidth="1"/>
    <col min="12025" max="12025" width="13.6640625" style="164" customWidth="1"/>
    <col min="12026" max="12026" width="12.5" style="164" customWidth="1"/>
    <col min="12027" max="12027" width="15.5" style="164" customWidth="1"/>
    <col min="12028" max="12028" width="13.6640625" style="164" customWidth="1"/>
    <col min="12029" max="12029" width="10.83203125" style="164" customWidth="1"/>
    <col min="12030" max="12030" width="10.33203125" style="164" customWidth="1"/>
    <col min="12031" max="12032" width="9.83203125" style="164" customWidth="1"/>
    <col min="12033" max="12033" width="10.83203125" style="164" customWidth="1"/>
    <col min="12034" max="12034" width="9.33203125" style="164" customWidth="1"/>
    <col min="12035" max="12037" width="9.83203125" style="164" customWidth="1"/>
    <col min="12038" max="12038" width="14.5" style="164" customWidth="1"/>
    <col min="12039" max="12039" width="18.1640625" style="164" customWidth="1"/>
    <col min="12040" max="12040" width="13.1640625" style="164" customWidth="1"/>
    <col min="12041" max="12041" width="13" style="164" customWidth="1"/>
    <col min="12042" max="12042" width="11" style="164" customWidth="1"/>
    <col min="12043" max="12047" width="0" style="164" hidden="1" customWidth="1"/>
    <col min="12048" max="12048" width="14.33203125" style="164" customWidth="1"/>
    <col min="12049" max="12051" width="0" style="164" hidden="1" customWidth="1"/>
    <col min="12052" max="12052" width="14.33203125" style="164" customWidth="1"/>
    <col min="12053" max="12055" width="0" style="164" hidden="1" customWidth="1"/>
    <col min="12056" max="12056" width="14.33203125" style="164" customWidth="1"/>
    <col min="12057" max="12059" width="0" style="164" hidden="1" customWidth="1"/>
    <col min="12060" max="12061" width="14.33203125" style="164" customWidth="1"/>
    <col min="12062" max="12062" width="14.1640625" style="164" customWidth="1"/>
    <col min="12063" max="12063" width="10.5" style="164" customWidth="1"/>
    <col min="12064" max="12064" width="10.1640625" style="164" customWidth="1"/>
    <col min="12065" max="12065" width="11.6640625" style="164" customWidth="1"/>
    <col min="12066" max="12066" width="9.83203125" style="164" customWidth="1"/>
    <col min="12067" max="12067" width="10.1640625" style="164" customWidth="1"/>
    <col min="12068" max="12068" width="9" style="164" customWidth="1"/>
    <col min="12069" max="12069" width="9.83203125" style="164" customWidth="1"/>
    <col min="12070" max="12070" width="9" style="164" customWidth="1"/>
    <col min="12071" max="12259" width="9.33203125" style="164"/>
    <col min="12260" max="12260" width="13.5" style="164" customWidth="1"/>
    <col min="12261" max="12261" width="12.83203125" style="164" customWidth="1"/>
    <col min="12262" max="12262" width="11.1640625" style="164" customWidth="1"/>
    <col min="12263" max="12263" width="10.6640625" style="164" customWidth="1"/>
    <col min="12264" max="12264" width="8.5" style="164" customWidth="1"/>
    <col min="12265" max="12274" width="0" style="164" hidden="1" customWidth="1"/>
    <col min="12275" max="12275" width="12.5" style="164" customWidth="1"/>
    <col min="12276" max="12276" width="13.6640625" style="164" customWidth="1"/>
    <col min="12277" max="12280" width="0" style="164" hidden="1" customWidth="1"/>
    <col min="12281" max="12281" width="13.6640625" style="164" customWidth="1"/>
    <col min="12282" max="12282" width="12.5" style="164" customWidth="1"/>
    <col min="12283" max="12283" width="15.5" style="164" customWidth="1"/>
    <col min="12284" max="12284" width="13.6640625" style="164" customWidth="1"/>
    <col min="12285" max="12285" width="10.83203125" style="164" customWidth="1"/>
    <col min="12286" max="12286" width="10.33203125" style="164" customWidth="1"/>
    <col min="12287" max="12288" width="9.83203125" style="164" customWidth="1"/>
    <col min="12289" max="12289" width="10.83203125" style="164" customWidth="1"/>
    <col min="12290" max="12290" width="9.33203125" style="164" customWidth="1"/>
    <col min="12291" max="12293" width="9.83203125" style="164" customWidth="1"/>
    <col min="12294" max="12294" width="14.5" style="164" customWidth="1"/>
    <col min="12295" max="12295" width="18.1640625" style="164" customWidth="1"/>
    <col min="12296" max="12296" width="13.1640625" style="164" customWidth="1"/>
    <col min="12297" max="12297" width="13" style="164" customWidth="1"/>
    <col min="12298" max="12298" width="11" style="164" customWidth="1"/>
    <col min="12299" max="12303" width="0" style="164" hidden="1" customWidth="1"/>
    <col min="12304" max="12304" width="14.33203125" style="164" customWidth="1"/>
    <col min="12305" max="12307" width="0" style="164" hidden="1" customWidth="1"/>
    <col min="12308" max="12308" width="14.33203125" style="164" customWidth="1"/>
    <col min="12309" max="12311" width="0" style="164" hidden="1" customWidth="1"/>
    <col min="12312" max="12312" width="14.33203125" style="164" customWidth="1"/>
    <col min="12313" max="12315" width="0" style="164" hidden="1" customWidth="1"/>
    <col min="12316" max="12317" width="14.33203125" style="164" customWidth="1"/>
    <col min="12318" max="12318" width="14.1640625" style="164" customWidth="1"/>
    <col min="12319" max="12319" width="10.5" style="164" customWidth="1"/>
    <col min="12320" max="12320" width="10.1640625" style="164" customWidth="1"/>
    <col min="12321" max="12321" width="11.6640625" style="164" customWidth="1"/>
    <col min="12322" max="12322" width="9.83203125" style="164" customWidth="1"/>
    <col min="12323" max="12323" width="10.1640625" style="164" customWidth="1"/>
    <col min="12324" max="12324" width="9" style="164" customWidth="1"/>
    <col min="12325" max="12325" width="9.83203125" style="164" customWidth="1"/>
    <col min="12326" max="12326" width="9" style="164" customWidth="1"/>
    <col min="12327" max="12515" width="9.33203125" style="164"/>
    <col min="12516" max="12516" width="13.5" style="164" customWidth="1"/>
    <col min="12517" max="12517" width="12.83203125" style="164" customWidth="1"/>
    <col min="12518" max="12518" width="11.1640625" style="164" customWidth="1"/>
    <col min="12519" max="12519" width="10.6640625" style="164" customWidth="1"/>
    <col min="12520" max="12520" width="8.5" style="164" customWidth="1"/>
    <col min="12521" max="12530" width="0" style="164" hidden="1" customWidth="1"/>
    <col min="12531" max="12531" width="12.5" style="164" customWidth="1"/>
    <col min="12532" max="12532" width="13.6640625" style="164" customWidth="1"/>
    <col min="12533" max="12536" width="0" style="164" hidden="1" customWidth="1"/>
    <col min="12537" max="12537" width="13.6640625" style="164" customWidth="1"/>
    <col min="12538" max="12538" width="12.5" style="164" customWidth="1"/>
    <col min="12539" max="12539" width="15.5" style="164" customWidth="1"/>
    <col min="12540" max="12540" width="13.6640625" style="164" customWidth="1"/>
    <col min="12541" max="12541" width="10.83203125" style="164" customWidth="1"/>
    <col min="12542" max="12542" width="10.33203125" style="164" customWidth="1"/>
    <col min="12543" max="12544" width="9.83203125" style="164" customWidth="1"/>
    <col min="12545" max="12545" width="10.83203125" style="164" customWidth="1"/>
    <col min="12546" max="12546" width="9.33203125" style="164" customWidth="1"/>
    <col min="12547" max="12549" width="9.83203125" style="164" customWidth="1"/>
    <col min="12550" max="12550" width="14.5" style="164" customWidth="1"/>
    <col min="12551" max="12551" width="18.1640625" style="164" customWidth="1"/>
    <col min="12552" max="12552" width="13.1640625" style="164" customWidth="1"/>
    <col min="12553" max="12553" width="13" style="164" customWidth="1"/>
    <col min="12554" max="12554" width="11" style="164" customWidth="1"/>
    <col min="12555" max="12559" width="0" style="164" hidden="1" customWidth="1"/>
    <col min="12560" max="12560" width="14.33203125" style="164" customWidth="1"/>
    <col min="12561" max="12563" width="0" style="164" hidden="1" customWidth="1"/>
    <col min="12564" max="12564" width="14.33203125" style="164" customWidth="1"/>
    <col min="12565" max="12567" width="0" style="164" hidden="1" customWidth="1"/>
    <col min="12568" max="12568" width="14.33203125" style="164" customWidth="1"/>
    <col min="12569" max="12571" width="0" style="164" hidden="1" customWidth="1"/>
    <col min="12572" max="12573" width="14.33203125" style="164" customWidth="1"/>
    <col min="12574" max="12574" width="14.1640625" style="164" customWidth="1"/>
    <col min="12575" max="12575" width="10.5" style="164" customWidth="1"/>
    <col min="12576" max="12576" width="10.1640625" style="164" customWidth="1"/>
    <col min="12577" max="12577" width="11.6640625" style="164" customWidth="1"/>
    <col min="12578" max="12578" width="9.83203125" style="164" customWidth="1"/>
    <col min="12579" max="12579" width="10.1640625" style="164" customWidth="1"/>
    <col min="12580" max="12580" width="9" style="164" customWidth="1"/>
    <col min="12581" max="12581" width="9.83203125" style="164" customWidth="1"/>
    <col min="12582" max="12582" width="9" style="164" customWidth="1"/>
    <col min="12583" max="12771" width="9.33203125" style="164"/>
    <col min="12772" max="12772" width="13.5" style="164" customWidth="1"/>
    <col min="12773" max="12773" width="12.83203125" style="164" customWidth="1"/>
    <col min="12774" max="12774" width="11.1640625" style="164" customWidth="1"/>
    <col min="12775" max="12775" width="10.6640625" style="164" customWidth="1"/>
    <col min="12776" max="12776" width="8.5" style="164" customWidth="1"/>
    <col min="12777" max="12786" width="0" style="164" hidden="1" customWidth="1"/>
    <col min="12787" max="12787" width="12.5" style="164" customWidth="1"/>
    <col min="12788" max="12788" width="13.6640625" style="164" customWidth="1"/>
    <col min="12789" max="12792" width="0" style="164" hidden="1" customWidth="1"/>
    <col min="12793" max="12793" width="13.6640625" style="164" customWidth="1"/>
    <col min="12794" max="12794" width="12.5" style="164" customWidth="1"/>
    <col min="12795" max="12795" width="15.5" style="164" customWidth="1"/>
    <col min="12796" max="12796" width="13.6640625" style="164" customWidth="1"/>
    <col min="12797" max="12797" width="10.83203125" style="164" customWidth="1"/>
    <col min="12798" max="12798" width="10.33203125" style="164" customWidth="1"/>
    <col min="12799" max="12800" width="9.83203125" style="164" customWidth="1"/>
    <col min="12801" max="12801" width="10.83203125" style="164" customWidth="1"/>
    <col min="12802" max="12802" width="9.33203125" style="164" customWidth="1"/>
    <col min="12803" max="12805" width="9.83203125" style="164" customWidth="1"/>
    <col min="12806" max="12806" width="14.5" style="164" customWidth="1"/>
    <col min="12807" max="12807" width="18.1640625" style="164" customWidth="1"/>
    <col min="12808" max="12808" width="13.1640625" style="164" customWidth="1"/>
    <col min="12809" max="12809" width="13" style="164" customWidth="1"/>
    <col min="12810" max="12810" width="11" style="164" customWidth="1"/>
    <col min="12811" max="12815" width="0" style="164" hidden="1" customWidth="1"/>
    <col min="12816" max="12816" width="14.33203125" style="164" customWidth="1"/>
    <col min="12817" max="12819" width="0" style="164" hidden="1" customWidth="1"/>
    <col min="12820" max="12820" width="14.33203125" style="164" customWidth="1"/>
    <col min="12821" max="12823" width="0" style="164" hidden="1" customWidth="1"/>
    <col min="12824" max="12824" width="14.33203125" style="164" customWidth="1"/>
    <col min="12825" max="12827" width="0" style="164" hidden="1" customWidth="1"/>
    <col min="12828" max="12829" width="14.33203125" style="164" customWidth="1"/>
    <col min="12830" max="12830" width="14.1640625" style="164" customWidth="1"/>
    <col min="12831" max="12831" width="10.5" style="164" customWidth="1"/>
    <col min="12832" max="12832" width="10.1640625" style="164" customWidth="1"/>
    <col min="12833" max="12833" width="11.6640625" style="164" customWidth="1"/>
    <col min="12834" max="12834" width="9.83203125" style="164" customWidth="1"/>
    <col min="12835" max="12835" width="10.1640625" style="164" customWidth="1"/>
    <col min="12836" max="12836" width="9" style="164" customWidth="1"/>
    <col min="12837" max="12837" width="9.83203125" style="164" customWidth="1"/>
    <col min="12838" max="12838" width="9" style="164" customWidth="1"/>
    <col min="12839" max="13027" width="9.33203125" style="164"/>
    <col min="13028" max="13028" width="13.5" style="164" customWidth="1"/>
    <col min="13029" max="13029" width="12.83203125" style="164" customWidth="1"/>
    <col min="13030" max="13030" width="11.1640625" style="164" customWidth="1"/>
    <col min="13031" max="13031" width="10.6640625" style="164" customWidth="1"/>
    <col min="13032" max="13032" width="8.5" style="164" customWidth="1"/>
    <col min="13033" max="13042" width="0" style="164" hidden="1" customWidth="1"/>
    <col min="13043" max="13043" width="12.5" style="164" customWidth="1"/>
    <col min="13044" max="13044" width="13.6640625" style="164" customWidth="1"/>
    <col min="13045" max="13048" width="0" style="164" hidden="1" customWidth="1"/>
    <col min="13049" max="13049" width="13.6640625" style="164" customWidth="1"/>
    <col min="13050" max="13050" width="12.5" style="164" customWidth="1"/>
    <col min="13051" max="13051" width="15.5" style="164" customWidth="1"/>
    <col min="13052" max="13052" width="13.6640625" style="164" customWidth="1"/>
    <col min="13053" max="13053" width="10.83203125" style="164" customWidth="1"/>
    <col min="13054" max="13054" width="10.33203125" style="164" customWidth="1"/>
    <col min="13055" max="13056" width="9.83203125" style="164" customWidth="1"/>
    <col min="13057" max="13057" width="10.83203125" style="164" customWidth="1"/>
    <col min="13058" max="13058" width="9.33203125" style="164" customWidth="1"/>
    <col min="13059" max="13061" width="9.83203125" style="164" customWidth="1"/>
    <col min="13062" max="13062" width="14.5" style="164" customWidth="1"/>
    <col min="13063" max="13063" width="18.1640625" style="164" customWidth="1"/>
    <col min="13064" max="13064" width="13.1640625" style="164" customWidth="1"/>
    <col min="13065" max="13065" width="13" style="164" customWidth="1"/>
    <col min="13066" max="13066" width="11" style="164" customWidth="1"/>
    <col min="13067" max="13071" width="0" style="164" hidden="1" customWidth="1"/>
    <col min="13072" max="13072" width="14.33203125" style="164" customWidth="1"/>
    <col min="13073" max="13075" width="0" style="164" hidden="1" customWidth="1"/>
    <col min="13076" max="13076" width="14.33203125" style="164" customWidth="1"/>
    <col min="13077" max="13079" width="0" style="164" hidden="1" customWidth="1"/>
    <col min="13080" max="13080" width="14.33203125" style="164" customWidth="1"/>
    <col min="13081" max="13083" width="0" style="164" hidden="1" customWidth="1"/>
    <col min="13084" max="13085" width="14.33203125" style="164" customWidth="1"/>
    <col min="13086" max="13086" width="14.1640625" style="164" customWidth="1"/>
    <col min="13087" max="13087" width="10.5" style="164" customWidth="1"/>
    <col min="13088" max="13088" width="10.1640625" style="164" customWidth="1"/>
    <col min="13089" max="13089" width="11.6640625" style="164" customWidth="1"/>
    <col min="13090" max="13090" width="9.83203125" style="164" customWidth="1"/>
    <col min="13091" max="13091" width="10.1640625" style="164" customWidth="1"/>
    <col min="13092" max="13092" width="9" style="164" customWidth="1"/>
    <col min="13093" max="13093" width="9.83203125" style="164" customWidth="1"/>
    <col min="13094" max="13094" width="9" style="164" customWidth="1"/>
    <col min="13095" max="13283" width="9.33203125" style="164"/>
    <col min="13284" max="13284" width="13.5" style="164" customWidth="1"/>
    <col min="13285" max="13285" width="12.83203125" style="164" customWidth="1"/>
    <col min="13286" max="13286" width="11.1640625" style="164" customWidth="1"/>
    <col min="13287" max="13287" width="10.6640625" style="164" customWidth="1"/>
    <col min="13288" max="13288" width="8.5" style="164" customWidth="1"/>
    <col min="13289" max="13298" width="0" style="164" hidden="1" customWidth="1"/>
    <col min="13299" max="13299" width="12.5" style="164" customWidth="1"/>
    <col min="13300" max="13300" width="13.6640625" style="164" customWidth="1"/>
    <col min="13301" max="13304" width="0" style="164" hidden="1" customWidth="1"/>
    <col min="13305" max="13305" width="13.6640625" style="164" customWidth="1"/>
    <col min="13306" max="13306" width="12.5" style="164" customWidth="1"/>
    <col min="13307" max="13307" width="15.5" style="164" customWidth="1"/>
    <col min="13308" max="13308" width="13.6640625" style="164" customWidth="1"/>
    <col min="13309" max="13309" width="10.83203125" style="164" customWidth="1"/>
    <col min="13310" max="13310" width="10.33203125" style="164" customWidth="1"/>
    <col min="13311" max="13312" width="9.83203125" style="164" customWidth="1"/>
    <col min="13313" max="13313" width="10.83203125" style="164" customWidth="1"/>
    <col min="13314" max="13314" width="9.33203125" style="164" customWidth="1"/>
    <col min="13315" max="13317" width="9.83203125" style="164" customWidth="1"/>
    <col min="13318" max="13318" width="14.5" style="164" customWidth="1"/>
    <col min="13319" max="13319" width="18.1640625" style="164" customWidth="1"/>
    <col min="13320" max="13320" width="13.1640625" style="164" customWidth="1"/>
    <col min="13321" max="13321" width="13" style="164" customWidth="1"/>
    <col min="13322" max="13322" width="11" style="164" customWidth="1"/>
    <col min="13323" max="13327" width="0" style="164" hidden="1" customWidth="1"/>
    <col min="13328" max="13328" width="14.33203125" style="164" customWidth="1"/>
    <col min="13329" max="13331" width="0" style="164" hidden="1" customWidth="1"/>
    <col min="13332" max="13332" width="14.33203125" style="164" customWidth="1"/>
    <col min="13333" max="13335" width="0" style="164" hidden="1" customWidth="1"/>
    <col min="13336" max="13336" width="14.33203125" style="164" customWidth="1"/>
    <col min="13337" max="13339" width="0" style="164" hidden="1" customWidth="1"/>
    <col min="13340" max="13341" width="14.33203125" style="164" customWidth="1"/>
    <col min="13342" max="13342" width="14.1640625" style="164" customWidth="1"/>
    <col min="13343" max="13343" width="10.5" style="164" customWidth="1"/>
    <col min="13344" max="13344" width="10.1640625" style="164" customWidth="1"/>
    <col min="13345" max="13345" width="11.6640625" style="164" customWidth="1"/>
    <col min="13346" max="13346" width="9.83203125" style="164" customWidth="1"/>
    <col min="13347" max="13347" width="10.1640625" style="164" customWidth="1"/>
    <col min="13348" max="13348" width="9" style="164" customWidth="1"/>
    <col min="13349" max="13349" width="9.83203125" style="164" customWidth="1"/>
    <col min="13350" max="13350" width="9" style="164" customWidth="1"/>
    <col min="13351" max="13539" width="9.33203125" style="164"/>
    <col min="13540" max="13540" width="13.5" style="164" customWidth="1"/>
    <col min="13541" max="13541" width="12.83203125" style="164" customWidth="1"/>
    <col min="13542" max="13542" width="11.1640625" style="164" customWidth="1"/>
    <col min="13543" max="13543" width="10.6640625" style="164" customWidth="1"/>
    <col min="13544" max="13544" width="8.5" style="164" customWidth="1"/>
    <col min="13545" max="13554" width="0" style="164" hidden="1" customWidth="1"/>
    <col min="13555" max="13555" width="12.5" style="164" customWidth="1"/>
    <col min="13556" max="13556" width="13.6640625" style="164" customWidth="1"/>
    <col min="13557" max="13560" width="0" style="164" hidden="1" customWidth="1"/>
    <col min="13561" max="13561" width="13.6640625" style="164" customWidth="1"/>
    <col min="13562" max="13562" width="12.5" style="164" customWidth="1"/>
    <col min="13563" max="13563" width="15.5" style="164" customWidth="1"/>
    <col min="13564" max="13564" width="13.6640625" style="164" customWidth="1"/>
    <col min="13565" max="13565" width="10.83203125" style="164" customWidth="1"/>
    <col min="13566" max="13566" width="10.33203125" style="164" customWidth="1"/>
    <col min="13567" max="13568" width="9.83203125" style="164" customWidth="1"/>
    <col min="13569" max="13569" width="10.83203125" style="164" customWidth="1"/>
    <col min="13570" max="13570" width="9.33203125" style="164" customWidth="1"/>
    <col min="13571" max="13573" width="9.83203125" style="164" customWidth="1"/>
    <col min="13574" max="13574" width="14.5" style="164" customWidth="1"/>
    <col min="13575" max="13575" width="18.1640625" style="164" customWidth="1"/>
    <col min="13576" max="13576" width="13.1640625" style="164" customWidth="1"/>
    <col min="13577" max="13577" width="13" style="164" customWidth="1"/>
    <col min="13578" max="13578" width="11" style="164" customWidth="1"/>
    <col min="13579" max="13583" width="0" style="164" hidden="1" customWidth="1"/>
    <col min="13584" max="13584" width="14.33203125" style="164" customWidth="1"/>
    <col min="13585" max="13587" width="0" style="164" hidden="1" customWidth="1"/>
    <col min="13588" max="13588" width="14.33203125" style="164" customWidth="1"/>
    <col min="13589" max="13591" width="0" style="164" hidden="1" customWidth="1"/>
    <col min="13592" max="13592" width="14.33203125" style="164" customWidth="1"/>
    <col min="13593" max="13595" width="0" style="164" hidden="1" customWidth="1"/>
    <col min="13596" max="13597" width="14.33203125" style="164" customWidth="1"/>
    <col min="13598" max="13598" width="14.1640625" style="164" customWidth="1"/>
    <col min="13599" max="13599" width="10.5" style="164" customWidth="1"/>
    <col min="13600" max="13600" width="10.1640625" style="164" customWidth="1"/>
    <col min="13601" max="13601" width="11.6640625" style="164" customWidth="1"/>
    <col min="13602" max="13602" width="9.83203125" style="164" customWidth="1"/>
    <col min="13603" max="13603" width="10.1640625" style="164" customWidth="1"/>
    <col min="13604" max="13604" width="9" style="164" customWidth="1"/>
    <col min="13605" max="13605" width="9.83203125" style="164" customWidth="1"/>
    <col min="13606" max="13606" width="9" style="164" customWidth="1"/>
    <col min="13607" max="13795" width="9.33203125" style="164"/>
    <col min="13796" max="13796" width="13.5" style="164" customWidth="1"/>
    <col min="13797" max="13797" width="12.83203125" style="164" customWidth="1"/>
    <col min="13798" max="13798" width="11.1640625" style="164" customWidth="1"/>
    <col min="13799" max="13799" width="10.6640625" style="164" customWidth="1"/>
    <col min="13800" max="13800" width="8.5" style="164" customWidth="1"/>
    <col min="13801" max="13810" width="0" style="164" hidden="1" customWidth="1"/>
    <col min="13811" max="13811" width="12.5" style="164" customWidth="1"/>
    <col min="13812" max="13812" width="13.6640625" style="164" customWidth="1"/>
    <col min="13813" max="13816" width="0" style="164" hidden="1" customWidth="1"/>
    <col min="13817" max="13817" width="13.6640625" style="164" customWidth="1"/>
    <col min="13818" max="13818" width="12.5" style="164" customWidth="1"/>
    <col min="13819" max="13819" width="15.5" style="164" customWidth="1"/>
    <col min="13820" max="13820" width="13.6640625" style="164" customWidth="1"/>
    <col min="13821" max="13821" width="10.83203125" style="164" customWidth="1"/>
    <col min="13822" max="13822" width="10.33203125" style="164" customWidth="1"/>
    <col min="13823" max="13824" width="9.83203125" style="164" customWidth="1"/>
    <col min="13825" max="13825" width="10.83203125" style="164" customWidth="1"/>
    <col min="13826" max="13826" width="9.33203125" style="164" customWidth="1"/>
    <col min="13827" max="13829" width="9.83203125" style="164" customWidth="1"/>
    <col min="13830" max="13830" width="14.5" style="164" customWidth="1"/>
    <col min="13831" max="13831" width="18.1640625" style="164" customWidth="1"/>
    <col min="13832" max="13832" width="13.1640625" style="164" customWidth="1"/>
    <col min="13833" max="13833" width="13" style="164" customWidth="1"/>
    <col min="13834" max="13834" width="11" style="164" customWidth="1"/>
    <col min="13835" max="13839" width="0" style="164" hidden="1" customWidth="1"/>
    <col min="13840" max="13840" width="14.33203125" style="164" customWidth="1"/>
    <col min="13841" max="13843" width="0" style="164" hidden="1" customWidth="1"/>
    <col min="13844" max="13844" width="14.33203125" style="164" customWidth="1"/>
    <col min="13845" max="13847" width="0" style="164" hidden="1" customWidth="1"/>
    <col min="13848" max="13848" width="14.33203125" style="164" customWidth="1"/>
    <col min="13849" max="13851" width="0" style="164" hidden="1" customWidth="1"/>
    <col min="13852" max="13853" width="14.33203125" style="164" customWidth="1"/>
    <col min="13854" max="13854" width="14.1640625" style="164" customWidth="1"/>
    <col min="13855" max="13855" width="10.5" style="164" customWidth="1"/>
    <col min="13856" max="13856" width="10.1640625" style="164" customWidth="1"/>
    <col min="13857" max="13857" width="11.6640625" style="164" customWidth="1"/>
    <col min="13858" max="13858" width="9.83203125" style="164" customWidth="1"/>
    <col min="13859" max="13859" width="10.1640625" style="164" customWidth="1"/>
    <col min="13860" max="13860" width="9" style="164" customWidth="1"/>
    <col min="13861" max="13861" width="9.83203125" style="164" customWidth="1"/>
    <col min="13862" max="13862" width="9" style="164" customWidth="1"/>
    <col min="13863" max="14051" width="9.33203125" style="164"/>
    <col min="14052" max="14052" width="13.5" style="164" customWidth="1"/>
    <col min="14053" max="14053" width="12.83203125" style="164" customWidth="1"/>
    <col min="14054" max="14054" width="11.1640625" style="164" customWidth="1"/>
    <col min="14055" max="14055" width="10.6640625" style="164" customWidth="1"/>
    <col min="14056" max="14056" width="8.5" style="164" customWidth="1"/>
    <col min="14057" max="14066" width="0" style="164" hidden="1" customWidth="1"/>
    <col min="14067" max="14067" width="12.5" style="164" customWidth="1"/>
    <col min="14068" max="14068" width="13.6640625" style="164" customWidth="1"/>
    <col min="14069" max="14072" width="0" style="164" hidden="1" customWidth="1"/>
    <col min="14073" max="14073" width="13.6640625" style="164" customWidth="1"/>
    <col min="14074" max="14074" width="12.5" style="164" customWidth="1"/>
    <col min="14075" max="14075" width="15.5" style="164" customWidth="1"/>
    <col min="14076" max="14076" width="13.6640625" style="164" customWidth="1"/>
    <col min="14077" max="14077" width="10.83203125" style="164" customWidth="1"/>
    <col min="14078" max="14078" width="10.33203125" style="164" customWidth="1"/>
    <col min="14079" max="14080" width="9.83203125" style="164" customWidth="1"/>
    <col min="14081" max="14081" width="10.83203125" style="164" customWidth="1"/>
    <col min="14082" max="14082" width="9.33203125" style="164" customWidth="1"/>
    <col min="14083" max="14085" width="9.83203125" style="164" customWidth="1"/>
    <col min="14086" max="14086" width="14.5" style="164" customWidth="1"/>
    <col min="14087" max="14087" width="18.1640625" style="164" customWidth="1"/>
    <col min="14088" max="14088" width="13.1640625" style="164" customWidth="1"/>
    <col min="14089" max="14089" width="13" style="164" customWidth="1"/>
    <col min="14090" max="14090" width="11" style="164" customWidth="1"/>
    <col min="14091" max="14095" width="0" style="164" hidden="1" customWidth="1"/>
    <col min="14096" max="14096" width="14.33203125" style="164" customWidth="1"/>
    <col min="14097" max="14099" width="0" style="164" hidden="1" customWidth="1"/>
    <col min="14100" max="14100" width="14.33203125" style="164" customWidth="1"/>
    <col min="14101" max="14103" width="0" style="164" hidden="1" customWidth="1"/>
    <col min="14104" max="14104" width="14.33203125" style="164" customWidth="1"/>
    <col min="14105" max="14107" width="0" style="164" hidden="1" customWidth="1"/>
    <col min="14108" max="14109" width="14.33203125" style="164" customWidth="1"/>
    <col min="14110" max="14110" width="14.1640625" style="164" customWidth="1"/>
    <col min="14111" max="14111" width="10.5" style="164" customWidth="1"/>
    <col min="14112" max="14112" width="10.1640625" style="164" customWidth="1"/>
    <col min="14113" max="14113" width="11.6640625" style="164" customWidth="1"/>
    <col min="14114" max="14114" width="9.83203125" style="164" customWidth="1"/>
    <col min="14115" max="14115" width="10.1640625" style="164" customWidth="1"/>
    <col min="14116" max="14116" width="9" style="164" customWidth="1"/>
    <col min="14117" max="14117" width="9.83203125" style="164" customWidth="1"/>
    <col min="14118" max="14118" width="9" style="164" customWidth="1"/>
    <col min="14119" max="14307" width="9.33203125" style="164"/>
    <col min="14308" max="14308" width="13.5" style="164" customWidth="1"/>
    <col min="14309" max="14309" width="12.83203125" style="164" customWidth="1"/>
    <col min="14310" max="14310" width="11.1640625" style="164" customWidth="1"/>
    <col min="14311" max="14311" width="10.6640625" style="164" customWidth="1"/>
    <col min="14312" max="14312" width="8.5" style="164" customWidth="1"/>
    <col min="14313" max="14322" width="0" style="164" hidden="1" customWidth="1"/>
    <col min="14323" max="14323" width="12.5" style="164" customWidth="1"/>
    <col min="14324" max="14324" width="13.6640625" style="164" customWidth="1"/>
    <col min="14325" max="14328" width="0" style="164" hidden="1" customWidth="1"/>
    <col min="14329" max="14329" width="13.6640625" style="164" customWidth="1"/>
    <col min="14330" max="14330" width="12.5" style="164" customWidth="1"/>
    <col min="14331" max="14331" width="15.5" style="164" customWidth="1"/>
    <col min="14332" max="14332" width="13.6640625" style="164" customWidth="1"/>
    <col min="14333" max="14333" width="10.83203125" style="164" customWidth="1"/>
    <col min="14334" max="14334" width="10.33203125" style="164" customWidth="1"/>
    <col min="14335" max="14336" width="9.83203125" style="164" customWidth="1"/>
    <col min="14337" max="14337" width="10.83203125" style="164" customWidth="1"/>
    <col min="14338" max="14338" width="9.33203125" style="164" customWidth="1"/>
    <col min="14339" max="14341" width="9.83203125" style="164" customWidth="1"/>
    <col min="14342" max="14342" width="14.5" style="164" customWidth="1"/>
    <col min="14343" max="14343" width="18.1640625" style="164" customWidth="1"/>
    <col min="14344" max="14344" width="13.1640625" style="164" customWidth="1"/>
    <col min="14345" max="14345" width="13" style="164" customWidth="1"/>
    <col min="14346" max="14346" width="11" style="164" customWidth="1"/>
    <col min="14347" max="14351" width="0" style="164" hidden="1" customWidth="1"/>
    <col min="14352" max="14352" width="14.33203125" style="164" customWidth="1"/>
    <col min="14353" max="14355" width="0" style="164" hidden="1" customWidth="1"/>
    <col min="14356" max="14356" width="14.33203125" style="164" customWidth="1"/>
    <col min="14357" max="14359" width="0" style="164" hidden="1" customWidth="1"/>
    <col min="14360" max="14360" width="14.33203125" style="164" customWidth="1"/>
    <col min="14361" max="14363" width="0" style="164" hidden="1" customWidth="1"/>
    <col min="14364" max="14365" width="14.33203125" style="164" customWidth="1"/>
    <col min="14366" max="14366" width="14.1640625" style="164" customWidth="1"/>
    <col min="14367" max="14367" width="10.5" style="164" customWidth="1"/>
    <col min="14368" max="14368" width="10.1640625" style="164" customWidth="1"/>
    <col min="14369" max="14369" width="11.6640625" style="164" customWidth="1"/>
    <col min="14370" max="14370" width="9.83203125" style="164" customWidth="1"/>
    <col min="14371" max="14371" width="10.1640625" style="164" customWidth="1"/>
    <col min="14372" max="14372" width="9" style="164" customWidth="1"/>
    <col min="14373" max="14373" width="9.83203125" style="164" customWidth="1"/>
    <col min="14374" max="14374" width="9" style="164" customWidth="1"/>
    <col min="14375" max="14563" width="9.33203125" style="164"/>
    <col min="14564" max="14564" width="13.5" style="164" customWidth="1"/>
    <col min="14565" max="14565" width="12.83203125" style="164" customWidth="1"/>
    <col min="14566" max="14566" width="11.1640625" style="164" customWidth="1"/>
    <col min="14567" max="14567" width="10.6640625" style="164" customWidth="1"/>
    <col min="14568" max="14568" width="8.5" style="164" customWidth="1"/>
    <col min="14569" max="14578" width="0" style="164" hidden="1" customWidth="1"/>
    <col min="14579" max="14579" width="12.5" style="164" customWidth="1"/>
    <col min="14580" max="14580" width="13.6640625" style="164" customWidth="1"/>
    <col min="14581" max="14584" width="0" style="164" hidden="1" customWidth="1"/>
    <col min="14585" max="14585" width="13.6640625" style="164" customWidth="1"/>
    <col min="14586" max="14586" width="12.5" style="164" customWidth="1"/>
    <col min="14587" max="14587" width="15.5" style="164" customWidth="1"/>
    <col min="14588" max="14588" width="13.6640625" style="164" customWidth="1"/>
    <col min="14589" max="14589" width="10.83203125" style="164" customWidth="1"/>
    <col min="14590" max="14590" width="10.33203125" style="164" customWidth="1"/>
    <col min="14591" max="14592" width="9.83203125" style="164" customWidth="1"/>
    <col min="14593" max="14593" width="10.83203125" style="164" customWidth="1"/>
    <col min="14594" max="14594" width="9.33203125" style="164" customWidth="1"/>
    <col min="14595" max="14597" width="9.83203125" style="164" customWidth="1"/>
    <col min="14598" max="14598" width="14.5" style="164" customWidth="1"/>
    <col min="14599" max="14599" width="18.1640625" style="164" customWidth="1"/>
    <col min="14600" max="14600" width="13.1640625" style="164" customWidth="1"/>
    <col min="14601" max="14601" width="13" style="164" customWidth="1"/>
    <col min="14602" max="14602" width="11" style="164" customWidth="1"/>
    <col min="14603" max="14607" width="0" style="164" hidden="1" customWidth="1"/>
    <col min="14608" max="14608" width="14.33203125" style="164" customWidth="1"/>
    <col min="14609" max="14611" width="0" style="164" hidden="1" customWidth="1"/>
    <col min="14612" max="14612" width="14.33203125" style="164" customWidth="1"/>
    <col min="14613" max="14615" width="0" style="164" hidden="1" customWidth="1"/>
    <col min="14616" max="14616" width="14.33203125" style="164" customWidth="1"/>
    <col min="14617" max="14619" width="0" style="164" hidden="1" customWidth="1"/>
    <col min="14620" max="14621" width="14.33203125" style="164" customWidth="1"/>
    <col min="14622" max="14622" width="14.1640625" style="164" customWidth="1"/>
    <col min="14623" max="14623" width="10.5" style="164" customWidth="1"/>
    <col min="14624" max="14624" width="10.1640625" style="164" customWidth="1"/>
    <col min="14625" max="14625" width="11.6640625" style="164" customWidth="1"/>
    <col min="14626" max="14626" width="9.83203125" style="164" customWidth="1"/>
    <col min="14627" max="14627" width="10.1640625" style="164" customWidth="1"/>
    <col min="14628" max="14628" width="9" style="164" customWidth="1"/>
    <col min="14629" max="14629" width="9.83203125" style="164" customWidth="1"/>
    <col min="14630" max="14630" width="9" style="164" customWidth="1"/>
    <col min="14631" max="14819" width="9.33203125" style="164"/>
    <col min="14820" max="14820" width="13.5" style="164" customWidth="1"/>
    <col min="14821" max="14821" width="12.83203125" style="164" customWidth="1"/>
    <col min="14822" max="14822" width="11.1640625" style="164" customWidth="1"/>
    <col min="14823" max="14823" width="10.6640625" style="164" customWidth="1"/>
    <col min="14824" max="14824" width="8.5" style="164" customWidth="1"/>
    <col min="14825" max="14834" width="0" style="164" hidden="1" customWidth="1"/>
    <col min="14835" max="14835" width="12.5" style="164" customWidth="1"/>
    <col min="14836" max="14836" width="13.6640625" style="164" customWidth="1"/>
    <col min="14837" max="14840" width="0" style="164" hidden="1" customWidth="1"/>
    <col min="14841" max="14841" width="13.6640625" style="164" customWidth="1"/>
    <col min="14842" max="14842" width="12.5" style="164" customWidth="1"/>
    <col min="14843" max="14843" width="15.5" style="164" customWidth="1"/>
    <col min="14844" max="14844" width="13.6640625" style="164" customWidth="1"/>
    <col min="14845" max="14845" width="10.83203125" style="164" customWidth="1"/>
    <col min="14846" max="14846" width="10.33203125" style="164" customWidth="1"/>
    <col min="14847" max="14848" width="9.83203125" style="164" customWidth="1"/>
    <col min="14849" max="14849" width="10.83203125" style="164" customWidth="1"/>
    <col min="14850" max="14850" width="9.33203125" style="164" customWidth="1"/>
    <col min="14851" max="14853" width="9.83203125" style="164" customWidth="1"/>
    <col min="14854" max="14854" width="14.5" style="164" customWidth="1"/>
    <col min="14855" max="14855" width="18.1640625" style="164" customWidth="1"/>
    <col min="14856" max="14856" width="13.1640625" style="164" customWidth="1"/>
    <col min="14857" max="14857" width="13" style="164" customWidth="1"/>
    <col min="14858" max="14858" width="11" style="164" customWidth="1"/>
    <col min="14859" max="14863" width="0" style="164" hidden="1" customWidth="1"/>
    <col min="14864" max="14864" width="14.33203125" style="164" customWidth="1"/>
    <col min="14865" max="14867" width="0" style="164" hidden="1" customWidth="1"/>
    <col min="14868" max="14868" width="14.33203125" style="164" customWidth="1"/>
    <col min="14869" max="14871" width="0" style="164" hidden="1" customWidth="1"/>
    <col min="14872" max="14872" width="14.33203125" style="164" customWidth="1"/>
    <col min="14873" max="14875" width="0" style="164" hidden="1" customWidth="1"/>
    <col min="14876" max="14877" width="14.33203125" style="164" customWidth="1"/>
    <col min="14878" max="14878" width="14.1640625" style="164" customWidth="1"/>
    <col min="14879" max="14879" width="10.5" style="164" customWidth="1"/>
    <col min="14880" max="14880" width="10.1640625" style="164" customWidth="1"/>
    <col min="14881" max="14881" width="11.6640625" style="164" customWidth="1"/>
    <col min="14882" max="14882" width="9.83203125" style="164" customWidth="1"/>
    <col min="14883" max="14883" width="10.1640625" style="164" customWidth="1"/>
    <col min="14884" max="14884" width="9" style="164" customWidth="1"/>
    <col min="14885" max="14885" width="9.83203125" style="164" customWidth="1"/>
    <col min="14886" max="14886" width="9" style="164" customWidth="1"/>
    <col min="14887" max="15075" width="9.33203125" style="164"/>
    <col min="15076" max="15076" width="13.5" style="164" customWidth="1"/>
    <col min="15077" max="15077" width="12.83203125" style="164" customWidth="1"/>
    <col min="15078" max="15078" width="11.1640625" style="164" customWidth="1"/>
    <col min="15079" max="15079" width="10.6640625" style="164" customWidth="1"/>
    <col min="15080" max="15080" width="8.5" style="164" customWidth="1"/>
    <col min="15081" max="15090" width="0" style="164" hidden="1" customWidth="1"/>
    <col min="15091" max="15091" width="12.5" style="164" customWidth="1"/>
    <col min="15092" max="15092" width="13.6640625" style="164" customWidth="1"/>
    <col min="15093" max="15096" width="0" style="164" hidden="1" customWidth="1"/>
    <col min="15097" max="15097" width="13.6640625" style="164" customWidth="1"/>
    <col min="15098" max="15098" width="12.5" style="164" customWidth="1"/>
    <col min="15099" max="15099" width="15.5" style="164" customWidth="1"/>
    <col min="15100" max="15100" width="13.6640625" style="164" customWidth="1"/>
    <col min="15101" max="15101" width="10.83203125" style="164" customWidth="1"/>
    <col min="15102" max="15102" width="10.33203125" style="164" customWidth="1"/>
    <col min="15103" max="15104" width="9.83203125" style="164" customWidth="1"/>
    <col min="15105" max="15105" width="10.83203125" style="164" customWidth="1"/>
    <col min="15106" max="15106" width="9.33203125" style="164" customWidth="1"/>
    <col min="15107" max="15109" width="9.83203125" style="164" customWidth="1"/>
    <col min="15110" max="15110" width="14.5" style="164" customWidth="1"/>
    <col min="15111" max="15111" width="18.1640625" style="164" customWidth="1"/>
    <col min="15112" max="15112" width="13.1640625" style="164" customWidth="1"/>
    <col min="15113" max="15113" width="13" style="164" customWidth="1"/>
    <col min="15114" max="15114" width="11" style="164" customWidth="1"/>
    <col min="15115" max="15119" width="0" style="164" hidden="1" customWidth="1"/>
    <col min="15120" max="15120" width="14.33203125" style="164" customWidth="1"/>
    <col min="15121" max="15123" width="0" style="164" hidden="1" customWidth="1"/>
    <col min="15124" max="15124" width="14.33203125" style="164" customWidth="1"/>
    <col min="15125" max="15127" width="0" style="164" hidden="1" customWidth="1"/>
    <col min="15128" max="15128" width="14.33203125" style="164" customWidth="1"/>
    <col min="15129" max="15131" width="0" style="164" hidden="1" customWidth="1"/>
    <col min="15132" max="15133" width="14.33203125" style="164" customWidth="1"/>
    <col min="15134" max="15134" width="14.1640625" style="164" customWidth="1"/>
    <col min="15135" max="15135" width="10.5" style="164" customWidth="1"/>
    <col min="15136" max="15136" width="10.1640625" style="164" customWidth="1"/>
    <col min="15137" max="15137" width="11.6640625" style="164" customWidth="1"/>
    <col min="15138" max="15138" width="9.83203125" style="164" customWidth="1"/>
    <col min="15139" max="15139" width="10.1640625" style="164" customWidth="1"/>
    <col min="15140" max="15140" width="9" style="164" customWidth="1"/>
    <col min="15141" max="15141" width="9.83203125" style="164" customWidth="1"/>
    <col min="15142" max="15142" width="9" style="164" customWidth="1"/>
    <col min="15143" max="15331" width="9.33203125" style="164"/>
    <col min="15332" max="15332" width="13.5" style="164" customWidth="1"/>
    <col min="15333" max="15333" width="12.83203125" style="164" customWidth="1"/>
    <col min="15334" max="15334" width="11.1640625" style="164" customWidth="1"/>
    <col min="15335" max="15335" width="10.6640625" style="164" customWidth="1"/>
    <col min="15336" max="15336" width="8.5" style="164" customWidth="1"/>
    <col min="15337" max="15346" width="0" style="164" hidden="1" customWidth="1"/>
    <col min="15347" max="15347" width="12.5" style="164" customWidth="1"/>
    <col min="15348" max="15348" width="13.6640625" style="164" customWidth="1"/>
    <col min="15349" max="15352" width="0" style="164" hidden="1" customWidth="1"/>
    <col min="15353" max="15353" width="13.6640625" style="164" customWidth="1"/>
    <col min="15354" max="15354" width="12.5" style="164" customWidth="1"/>
    <col min="15355" max="15355" width="15.5" style="164" customWidth="1"/>
    <col min="15356" max="15356" width="13.6640625" style="164" customWidth="1"/>
    <col min="15357" max="15357" width="10.83203125" style="164" customWidth="1"/>
    <col min="15358" max="15358" width="10.33203125" style="164" customWidth="1"/>
    <col min="15359" max="15360" width="9.83203125" style="164" customWidth="1"/>
    <col min="15361" max="15361" width="10.83203125" style="164" customWidth="1"/>
    <col min="15362" max="15362" width="9.33203125" style="164" customWidth="1"/>
    <col min="15363" max="15365" width="9.83203125" style="164" customWidth="1"/>
    <col min="15366" max="15366" width="14.5" style="164" customWidth="1"/>
    <col min="15367" max="15367" width="18.1640625" style="164" customWidth="1"/>
    <col min="15368" max="15368" width="13.1640625" style="164" customWidth="1"/>
    <col min="15369" max="15369" width="13" style="164" customWidth="1"/>
    <col min="15370" max="15370" width="11" style="164" customWidth="1"/>
    <col min="15371" max="15375" width="0" style="164" hidden="1" customWidth="1"/>
    <col min="15376" max="15376" width="14.33203125" style="164" customWidth="1"/>
    <col min="15377" max="15379" width="0" style="164" hidden="1" customWidth="1"/>
    <col min="15380" max="15380" width="14.33203125" style="164" customWidth="1"/>
    <col min="15381" max="15383" width="0" style="164" hidden="1" customWidth="1"/>
    <col min="15384" max="15384" width="14.33203125" style="164" customWidth="1"/>
    <col min="15385" max="15387" width="0" style="164" hidden="1" customWidth="1"/>
    <col min="15388" max="15389" width="14.33203125" style="164" customWidth="1"/>
    <col min="15390" max="15390" width="14.1640625" style="164" customWidth="1"/>
    <col min="15391" max="15391" width="10.5" style="164" customWidth="1"/>
    <col min="15392" max="15392" width="10.1640625" style="164" customWidth="1"/>
    <col min="15393" max="15393" width="11.6640625" style="164" customWidth="1"/>
    <col min="15394" max="15394" width="9.83203125" style="164" customWidth="1"/>
    <col min="15395" max="15395" width="10.1640625" style="164" customWidth="1"/>
    <col min="15396" max="15396" width="9" style="164" customWidth="1"/>
    <col min="15397" max="15397" width="9.83203125" style="164" customWidth="1"/>
    <col min="15398" max="15398" width="9" style="164" customWidth="1"/>
    <col min="15399" max="15587" width="9.33203125" style="164"/>
    <col min="15588" max="15588" width="13.5" style="164" customWidth="1"/>
    <col min="15589" max="15589" width="12.83203125" style="164" customWidth="1"/>
    <col min="15590" max="15590" width="11.1640625" style="164" customWidth="1"/>
    <col min="15591" max="15591" width="10.6640625" style="164" customWidth="1"/>
    <col min="15592" max="15592" width="8.5" style="164" customWidth="1"/>
    <col min="15593" max="15602" width="0" style="164" hidden="1" customWidth="1"/>
    <col min="15603" max="15603" width="12.5" style="164" customWidth="1"/>
    <col min="15604" max="15604" width="13.6640625" style="164" customWidth="1"/>
    <col min="15605" max="15608" width="0" style="164" hidden="1" customWidth="1"/>
    <col min="15609" max="15609" width="13.6640625" style="164" customWidth="1"/>
    <col min="15610" max="15610" width="12.5" style="164" customWidth="1"/>
    <col min="15611" max="15611" width="15.5" style="164" customWidth="1"/>
    <col min="15612" max="15612" width="13.6640625" style="164" customWidth="1"/>
    <col min="15613" max="15613" width="10.83203125" style="164" customWidth="1"/>
    <col min="15614" max="15614" width="10.33203125" style="164" customWidth="1"/>
    <col min="15615" max="15616" width="9.83203125" style="164" customWidth="1"/>
    <col min="15617" max="15617" width="10.83203125" style="164" customWidth="1"/>
    <col min="15618" max="15618" width="9.33203125" style="164" customWidth="1"/>
    <col min="15619" max="15621" width="9.83203125" style="164" customWidth="1"/>
    <col min="15622" max="15622" width="14.5" style="164" customWidth="1"/>
    <col min="15623" max="15623" width="18.1640625" style="164" customWidth="1"/>
    <col min="15624" max="15624" width="13.1640625" style="164" customWidth="1"/>
    <col min="15625" max="15625" width="13" style="164" customWidth="1"/>
    <col min="15626" max="15626" width="11" style="164" customWidth="1"/>
    <col min="15627" max="15631" width="0" style="164" hidden="1" customWidth="1"/>
    <col min="15632" max="15632" width="14.33203125" style="164" customWidth="1"/>
    <col min="15633" max="15635" width="0" style="164" hidden="1" customWidth="1"/>
    <col min="15636" max="15636" width="14.33203125" style="164" customWidth="1"/>
    <col min="15637" max="15639" width="0" style="164" hidden="1" customWidth="1"/>
    <col min="15640" max="15640" width="14.33203125" style="164" customWidth="1"/>
    <col min="15641" max="15643" width="0" style="164" hidden="1" customWidth="1"/>
    <col min="15644" max="15645" width="14.33203125" style="164" customWidth="1"/>
    <col min="15646" max="15646" width="14.1640625" style="164" customWidth="1"/>
    <col min="15647" max="15647" width="10.5" style="164" customWidth="1"/>
    <col min="15648" max="15648" width="10.1640625" style="164" customWidth="1"/>
    <col min="15649" max="15649" width="11.6640625" style="164" customWidth="1"/>
    <col min="15650" max="15650" width="9.83203125" style="164" customWidth="1"/>
    <col min="15651" max="15651" width="10.1640625" style="164" customWidth="1"/>
    <col min="15652" max="15652" width="9" style="164" customWidth="1"/>
    <col min="15653" max="15653" width="9.83203125" style="164" customWidth="1"/>
    <col min="15654" max="15654" width="9" style="164" customWidth="1"/>
    <col min="15655" max="15843" width="9.33203125" style="164"/>
    <col min="15844" max="15844" width="13.5" style="164" customWidth="1"/>
    <col min="15845" max="15845" width="12.83203125" style="164" customWidth="1"/>
    <col min="15846" max="15846" width="11.1640625" style="164" customWidth="1"/>
    <col min="15847" max="15847" width="10.6640625" style="164" customWidth="1"/>
    <col min="15848" max="15848" width="8.5" style="164" customWidth="1"/>
    <col min="15849" max="15858" width="0" style="164" hidden="1" customWidth="1"/>
    <col min="15859" max="15859" width="12.5" style="164" customWidth="1"/>
    <col min="15860" max="15860" width="13.6640625" style="164" customWidth="1"/>
    <col min="15861" max="15864" width="0" style="164" hidden="1" customWidth="1"/>
    <col min="15865" max="15865" width="13.6640625" style="164" customWidth="1"/>
    <col min="15866" max="15866" width="12.5" style="164" customWidth="1"/>
    <col min="15867" max="15867" width="15.5" style="164" customWidth="1"/>
    <col min="15868" max="15868" width="13.6640625" style="164" customWidth="1"/>
    <col min="15869" max="15869" width="10.83203125" style="164" customWidth="1"/>
    <col min="15870" max="15870" width="10.33203125" style="164" customWidth="1"/>
    <col min="15871" max="15872" width="9.83203125" style="164" customWidth="1"/>
    <col min="15873" max="15873" width="10.83203125" style="164" customWidth="1"/>
    <col min="15874" max="15874" width="9.33203125" style="164" customWidth="1"/>
    <col min="15875" max="15877" width="9.83203125" style="164" customWidth="1"/>
    <col min="15878" max="15878" width="14.5" style="164" customWidth="1"/>
    <col min="15879" max="15879" width="18.1640625" style="164" customWidth="1"/>
    <col min="15880" max="15880" width="13.1640625" style="164" customWidth="1"/>
    <col min="15881" max="15881" width="13" style="164" customWidth="1"/>
    <col min="15882" max="15882" width="11" style="164" customWidth="1"/>
    <col min="15883" max="15887" width="0" style="164" hidden="1" customWidth="1"/>
    <col min="15888" max="15888" width="14.33203125" style="164" customWidth="1"/>
    <col min="15889" max="15891" width="0" style="164" hidden="1" customWidth="1"/>
    <col min="15892" max="15892" width="14.33203125" style="164" customWidth="1"/>
    <col min="15893" max="15895" width="0" style="164" hidden="1" customWidth="1"/>
    <col min="15896" max="15896" width="14.33203125" style="164" customWidth="1"/>
    <col min="15897" max="15899" width="0" style="164" hidden="1" customWidth="1"/>
    <col min="15900" max="15901" width="14.33203125" style="164" customWidth="1"/>
    <col min="15902" max="15902" width="14.1640625" style="164" customWidth="1"/>
    <col min="15903" max="15903" width="10.5" style="164" customWidth="1"/>
    <col min="15904" max="15904" width="10.1640625" style="164" customWidth="1"/>
    <col min="15905" max="15905" width="11.6640625" style="164" customWidth="1"/>
    <col min="15906" max="15906" width="9.83203125" style="164" customWidth="1"/>
    <col min="15907" max="15907" width="10.1640625" style="164" customWidth="1"/>
    <col min="15908" max="15908" width="9" style="164" customWidth="1"/>
    <col min="15909" max="15909" width="9.83203125" style="164" customWidth="1"/>
    <col min="15910" max="15910" width="9" style="164" customWidth="1"/>
    <col min="15911" max="16099" width="9.33203125" style="164"/>
    <col min="16100" max="16100" width="13.5" style="164" customWidth="1"/>
    <col min="16101" max="16101" width="12.83203125" style="164" customWidth="1"/>
    <col min="16102" max="16102" width="11.1640625" style="164" customWidth="1"/>
    <col min="16103" max="16103" width="10.6640625" style="164" customWidth="1"/>
    <col min="16104" max="16104" width="8.5" style="164" customWidth="1"/>
    <col min="16105" max="16114" width="0" style="164" hidden="1" customWidth="1"/>
    <col min="16115" max="16115" width="12.5" style="164" customWidth="1"/>
    <col min="16116" max="16116" width="13.6640625" style="164" customWidth="1"/>
    <col min="16117" max="16120" width="0" style="164" hidden="1" customWidth="1"/>
    <col min="16121" max="16121" width="13.6640625" style="164" customWidth="1"/>
    <col min="16122" max="16122" width="12.5" style="164" customWidth="1"/>
    <col min="16123" max="16123" width="15.5" style="164" customWidth="1"/>
    <col min="16124" max="16124" width="13.6640625" style="164" customWidth="1"/>
    <col min="16125" max="16125" width="10.83203125" style="164" customWidth="1"/>
    <col min="16126" max="16126" width="10.33203125" style="164" customWidth="1"/>
    <col min="16127" max="16128" width="9.83203125" style="164" customWidth="1"/>
    <col min="16129" max="16129" width="10.83203125" style="164" customWidth="1"/>
    <col min="16130" max="16130" width="9.33203125" style="164" customWidth="1"/>
    <col min="16131" max="16133" width="9.83203125" style="164" customWidth="1"/>
    <col min="16134" max="16134" width="14.5" style="164" customWidth="1"/>
    <col min="16135" max="16135" width="18.1640625" style="164" customWidth="1"/>
    <col min="16136" max="16136" width="13.1640625" style="164" customWidth="1"/>
    <col min="16137" max="16137" width="13" style="164" customWidth="1"/>
    <col min="16138" max="16138" width="11" style="164" customWidth="1"/>
    <col min="16139" max="16143" width="0" style="164" hidden="1" customWidth="1"/>
    <col min="16144" max="16144" width="14.33203125" style="164" customWidth="1"/>
    <col min="16145" max="16147" width="0" style="164" hidden="1" customWidth="1"/>
    <col min="16148" max="16148" width="14.33203125" style="164" customWidth="1"/>
    <col min="16149" max="16151" width="0" style="164" hidden="1" customWidth="1"/>
    <col min="16152" max="16152" width="14.33203125" style="164" customWidth="1"/>
    <col min="16153" max="16155" width="0" style="164" hidden="1" customWidth="1"/>
    <col min="16156" max="16157" width="14.33203125" style="164" customWidth="1"/>
    <col min="16158" max="16158" width="14.1640625" style="164" customWidth="1"/>
    <col min="16159" max="16159" width="10.5" style="164" customWidth="1"/>
    <col min="16160" max="16160" width="10.1640625" style="164" customWidth="1"/>
    <col min="16161" max="16161" width="11.6640625" style="164" customWidth="1"/>
    <col min="16162" max="16162" width="9.83203125" style="164" customWidth="1"/>
    <col min="16163" max="16163" width="10.1640625" style="164" customWidth="1"/>
    <col min="16164" max="16164" width="9" style="164" customWidth="1"/>
    <col min="16165" max="16165" width="9.83203125" style="164" customWidth="1"/>
    <col min="16166" max="16166" width="9" style="164" customWidth="1"/>
    <col min="16167" max="16384" width="9.33203125" style="164"/>
  </cols>
  <sheetData>
    <row r="1" spans="1:112" ht="16.5" customHeight="1" x14ac:dyDescent="0.2">
      <c r="B1" s="165" t="s">
        <v>320</v>
      </c>
      <c r="C1" s="166" t="s">
        <v>388</v>
      </c>
      <c r="D1" s="166"/>
    </row>
    <row r="2" spans="1:112" ht="16.5" customHeight="1" x14ac:dyDescent="0.25">
      <c r="B2" s="165" t="s">
        <v>134</v>
      </c>
      <c r="C2" s="173" t="s">
        <v>257</v>
      </c>
    </row>
    <row r="3" spans="1:112" s="174" customFormat="1" ht="16.5" customHeight="1" x14ac:dyDescent="0.2">
      <c r="B3" s="175"/>
      <c r="G3" s="176" t="s">
        <v>135</v>
      </c>
      <c r="H3" s="177"/>
      <c r="I3" s="178"/>
      <c r="J3" s="177"/>
      <c r="K3" s="179">
        <v>10</v>
      </c>
      <c r="L3" s="180"/>
      <c r="P3" s="181"/>
      <c r="T3" s="182"/>
      <c r="U3" s="182"/>
      <c r="V3" s="182"/>
      <c r="W3" s="182"/>
      <c r="X3" s="183"/>
      <c r="Y3" s="184"/>
      <c r="Z3" s="182"/>
      <c r="AA3" s="182"/>
      <c r="AB3" s="185"/>
      <c r="AE3" s="181"/>
      <c r="AL3" s="182"/>
      <c r="AO3" s="182"/>
      <c r="AP3" s="182"/>
      <c r="CN3" s="186"/>
    </row>
    <row r="4" spans="1:112" s="187" customFormat="1" ht="16.5" customHeight="1" thickBot="1" x14ac:dyDescent="0.25">
      <c r="B4" s="667" t="s">
        <v>321</v>
      </c>
      <c r="C4" s="667"/>
      <c r="D4" s="667"/>
      <c r="E4" s="667"/>
      <c r="F4" s="174"/>
      <c r="G4" s="188" t="s">
        <v>322</v>
      </c>
      <c r="H4" s="189"/>
      <c r="I4" s="189"/>
      <c r="J4" s="189"/>
      <c r="K4" s="190" t="s">
        <v>323</v>
      </c>
      <c r="L4" s="191"/>
      <c r="M4" s="174"/>
      <c r="N4" s="192"/>
      <c r="P4" s="193"/>
      <c r="Q4" s="192"/>
      <c r="R4" s="192"/>
      <c r="S4" s="192"/>
      <c r="T4" s="194"/>
      <c r="U4" s="194"/>
      <c r="V4" s="194"/>
      <c r="W4" s="194"/>
      <c r="X4" s="195"/>
      <c r="Y4" s="196"/>
      <c r="Z4" s="194"/>
      <c r="AA4" s="194"/>
      <c r="AB4" s="197"/>
      <c r="AE4" s="193"/>
      <c r="AL4" s="194"/>
      <c r="AO4" s="194"/>
      <c r="AP4" s="194"/>
      <c r="CN4" s="198"/>
    </row>
    <row r="5" spans="1:112" s="187" customFormat="1" ht="52.5" customHeight="1" thickBot="1" x14ac:dyDescent="0.25">
      <c r="B5" s="668"/>
      <c r="C5" s="669"/>
      <c r="D5" s="669"/>
      <c r="E5" s="670"/>
      <c r="F5" s="174"/>
      <c r="G5" s="671" t="s">
        <v>324</v>
      </c>
      <c r="H5" s="672"/>
      <c r="I5" s="672"/>
      <c r="J5" s="199"/>
      <c r="K5" s="190" t="s">
        <v>136</v>
      </c>
      <c r="L5" s="191"/>
      <c r="M5" s="182"/>
      <c r="P5" s="193"/>
      <c r="T5" s="194"/>
      <c r="U5" s="194"/>
      <c r="V5" s="194"/>
      <c r="W5" s="194"/>
      <c r="X5" s="195"/>
      <c r="Y5" s="196"/>
      <c r="Z5" s="194"/>
      <c r="AA5" s="194"/>
      <c r="AB5" s="197"/>
      <c r="AE5" s="193"/>
      <c r="AK5" s="200"/>
      <c r="AL5" s="194"/>
      <c r="AO5" s="194"/>
      <c r="AP5" s="194"/>
      <c r="CN5" s="198"/>
    </row>
    <row r="6" spans="1:112" s="187" customFormat="1" ht="16.5" customHeight="1" x14ac:dyDescent="0.2">
      <c r="B6" s="201" t="s">
        <v>137</v>
      </c>
      <c r="C6" s="202">
        <v>1420.65</v>
      </c>
      <c r="D6" s="203" t="s">
        <v>138</v>
      </c>
      <c r="E6" s="204" t="s">
        <v>139</v>
      </c>
      <c r="F6" s="205"/>
      <c r="G6" s="188" t="s">
        <v>325</v>
      </c>
      <c r="H6" s="189"/>
      <c r="I6" s="189"/>
      <c r="J6" s="189"/>
      <c r="K6" s="206">
        <v>0.6</v>
      </c>
      <c r="L6" s="207"/>
      <c r="M6" s="182"/>
      <c r="P6" s="208"/>
      <c r="T6" s="194"/>
      <c r="U6" s="194"/>
      <c r="V6" s="194"/>
      <c r="W6" s="194"/>
      <c r="X6" s="195"/>
      <c r="Y6" s="196"/>
      <c r="Z6" s="194"/>
      <c r="AA6" s="194"/>
      <c r="AB6" s="197"/>
      <c r="AE6" s="193"/>
      <c r="AL6" s="194"/>
      <c r="AO6" s="194"/>
      <c r="AP6" s="194"/>
      <c r="CN6" s="198"/>
    </row>
    <row r="7" spans="1:112" s="187" customFormat="1" ht="16.5" customHeight="1" x14ac:dyDescent="0.2">
      <c r="B7" s="209" t="s">
        <v>140</v>
      </c>
      <c r="C7" s="399">
        <v>0.18</v>
      </c>
      <c r="D7" s="210" t="s">
        <v>141</v>
      </c>
      <c r="E7" s="211">
        <v>13</v>
      </c>
      <c r="F7" s="205"/>
      <c r="G7" s="188" t="s">
        <v>326</v>
      </c>
      <c r="H7" s="189"/>
      <c r="I7" s="189"/>
      <c r="J7" s="189"/>
      <c r="K7" s="190" t="s">
        <v>142</v>
      </c>
      <c r="L7" s="207"/>
      <c r="M7" s="212"/>
      <c r="P7" s="193"/>
      <c r="T7" s="194"/>
      <c r="U7" s="194"/>
      <c r="V7" s="194"/>
      <c r="W7" s="194"/>
      <c r="X7" s="195"/>
      <c r="Y7" s="196"/>
      <c r="Z7" s="194"/>
      <c r="AA7" s="194"/>
      <c r="AB7" s="197"/>
      <c r="AE7" s="193"/>
      <c r="AL7" s="194"/>
      <c r="AO7" s="194"/>
      <c r="AP7" s="194"/>
      <c r="CN7" s="198"/>
    </row>
    <row r="8" spans="1:112" s="187" customFormat="1" ht="16.5" customHeight="1" thickBot="1" x14ac:dyDescent="0.25">
      <c r="B8" s="213" t="s">
        <v>143</v>
      </c>
      <c r="C8" s="214">
        <v>10</v>
      </c>
      <c r="D8" s="215" t="s">
        <v>144</v>
      </c>
      <c r="E8" s="216">
        <v>0.82699999999999996</v>
      </c>
      <c r="F8" s="205"/>
      <c r="G8" s="217" t="s">
        <v>327</v>
      </c>
      <c r="H8" s="218"/>
      <c r="I8" s="218"/>
      <c r="J8" s="218"/>
      <c r="K8" s="219" t="s">
        <v>328</v>
      </c>
      <c r="L8" s="220"/>
      <c r="M8" s="182"/>
      <c r="P8" s="193"/>
      <c r="T8" s="194"/>
      <c r="U8" s="194"/>
      <c r="V8" s="194"/>
      <c r="W8" s="194"/>
      <c r="X8" s="195"/>
      <c r="Y8" s="196"/>
      <c r="Z8" s="194"/>
      <c r="AA8" s="194"/>
      <c r="AB8" s="197"/>
      <c r="AE8" s="193"/>
      <c r="AL8" s="194"/>
      <c r="AO8" s="194"/>
      <c r="AP8" s="194"/>
      <c r="CN8" s="198"/>
    </row>
    <row r="9" spans="1:112" s="221" customFormat="1" ht="16.5" customHeight="1" thickBot="1" x14ac:dyDescent="0.25">
      <c r="B9" s="164"/>
      <c r="C9" s="164"/>
      <c r="D9" s="222"/>
      <c r="E9" s="223"/>
      <c r="F9" s="164"/>
      <c r="G9" s="164"/>
      <c r="H9" s="164"/>
      <c r="I9" s="164"/>
      <c r="J9" s="224"/>
      <c r="P9" s="225"/>
      <c r="T9" s="226"/>
      <c r="U9" s="226"/>
      <c r="V9" s="226"/>
      <c r="W9" s="226"/>
      <c r="X9" s="227"/>
      <c r="Y9" s="228"/>
      <c r="Z9" s="226"/>
      <c r="AA9" s="226"/>
      <c r="AB9" s="229"/>
      <c r="AE9" s="225"/>
      <c r="AL9" s="226"/>
      <c r="AO9" s="226"/>
      <c r="AP9" s="226"/>
      <c r="CN9" s="230"/>
    </row>
    <row r="10" spans="1:112" s="231" customFormat="1" ht="34.5" customHeight="1" thickBot="1" x14ac:dyDescent="0.25">
      <c r="B10" s="673" t="s">
        <v>546</v>
      </c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  <c r="AA10" s="674"/>
      <c r="AB10" s="674"/>
      <c r="AC10" s="674"/>
      <c r="AD10" s="674"/>
      <c r="AE10" s="674"/>
      <c r="AF10" s="674"/>
      <c r="AG10" s="674"/>
      <c r="AH10" s="674"/>
      <c r="AI10" s="674"/>
      <c r="AJ10" s="674"/>
      <c r="AK10" s="674"/>
      <c r="AL10" s="674"/>
      <c r="AM10" s="674"/>
      <c r="AN10" s="674"/>
      <c r="AO10" s="674"/>
      <c r="AP10" s="674"/>
      <c r="AQ10" s="674"/>
      <c r="AR10" s="674"/>
      <c r="AS10" s="674"/>
      <c r="AT10" s="675"/>
      <c r="AV10" s="678" t="s">
        <v>453</v>
      </c>
      <c r="AW10" s="679"/>
      <c r="AX10" s="679"/>
      <c r="AY10" s="679"/>
      <c r="AZ10" s="679"/>
      <c r="BA10" s="679"/>
      <c r="BB10" s="679"/>
      <c r="BC10" s="679"/>
      <c r="BD10" s="679"/>
      <c r="BE10" s="679"/>
      <c r="BF10" s="679"/>
      <c r="BG10" s="679"/>
      <c r="BH10" s="679"/>
      <c r="BI10" s="679"/>
      <c r="BJ10" s="679"/>
      <c r="BK10" s="679"/>
      <c r="BL10" s="679"/>
      <c r="BM10" s="679"/>
      <c r="BN10" s="679"/>
      <c r="BO10" s="679"/>
      <c r="BP10" s="679"/>
      <c r="BQ10" s="679"/>
      <c r="BR10" s="679"/>
      <c r="BS10" s="679"/>
      <c r="BT10" s="679"/>
      <c r="BU10" s="679"/>
      <c r="BV10" s="679"/>
      <c r="BW10" s="679"/>
      <c r="BX10" s="679"/>
      <c r="BY10" s="679"/>
      <c r="BZ10" s="679"/>
      <c r="CA10" s="679"/>
      <c r="CB10" s="679"/>
      <c r="CC10" s="679"/>
      <c r="CD10" s="679"/>
      <c r="CE10" s="679"/>
      <c r="CF10" s="679"/>
      <c r="CG10" s="679"/>
      <c r="CH10" s="679"/>
      <c r="CI10" s="679"/>
      <c r="CJ10" s="679"/>
      <c r="CK10" s="679"/>
      <c r="CL10" s="679"/>
      <c r="CM10" s="679"/>
      <c r="CN10" s="679"/>
      <c r="CO10" s="679"/>
      <c r="CP10" s="679"/>
      <c r="CQ10" s="679"/>
      <c r="CR10" s="679"/>
      <c r="CS10" s="679"/>
      <c r="CT10" s="679"/>
      <c r="CU10" s="679"/>
      <c r="CV10" s="679"/>
      <c r="CW10" s="679"/>
      <c r="CX10" s="679"/>
      <c r="CY10" s="679"/>
      <c r="CZ10" s="679"/>
      <c r="DA10" s="679"/>
      <c r="DB10" s="679"/>
      <c r="DC10" s="679"/>
      <c r="DD10" s="679"/>
      <c r="DE10" s="679"/>
      <c r="DF10" s="679"/>
      <c r="DG10" s="679"/>
      <c r="DH10" s="680"/>
    </row>
    <row r="11" spans="1:112" s="232" customFormat="1" ht="39.75" customHeight="1" x14ac:dyDescent="0.2">
      <c r="B11" s="681" t="s">
        <v>145</v>
      </c>
      <c r="C11" s="683" t="s">
        <v>329</v>
      </c>
      <c r="D11" s="652" t="s">
        <v>330</v>
      </c>
      <c r="E11" s="653"/>
      <c r="F11" s="652" t="s">
        <v>331</v>
      </c>
      <c r="G11" s="652" t="s">
        <v>332</v>
      </c>
      <c r="H11" s="652" t="s">
        <v>332</v>
      </c>
      <c r="I11" s="652" t="s">
        <v>333</v>
      </c>
      <c r="J11" s="652" t="s">
        <v>334</v>
      </c>
      <c r="K11" s="652" t="s">
        <v>335</v>
      </c>
      <c r="L11" s="658" t="s">
        <v>336</v>
      </c>
      <c r="M11" s="652" t="s">
        <v>337</v>
      </c>
      <c r="N11" s="652" t="s">
        <v>338</v>
      </c>
      <c r="O11" s="652" t="s">
        <v>339</v>
      </c>
      <c r="P11" s="656" t="s">
        <v>340</v>
      </c>
      <c r="Q11" s="652" t="s">
        <v>341</v>
      </c>
      <c r="R11" s="652" t="s">
        <v>342</v>
      </c>
      <c r="S11" s="652" t="s">
        <v>343</v>
      </c>
      <c r="T11" s="652" t="s">
        <v>344</v>
      </c>
      <c r="U11" s="652" t="s">
        <v>345</v>
      </c>
      <c r="V11" s="658" t="s">
        <v>346</v>
      </c>
      <c r="W11" s="658" t="s">
        <v>347</v>
      </c>
      <c r="X11" s="658" t="s">
        <v>348</v>
      </c>
      <c r="Y11" s="684" t="s">
        <v>349</v>
      </c>
      <c r="Z11" s="658" t="s">
        <v>350</v>
      </c>
      <c r="AA11" s="652" t="s">
        <v>351</v>
      </c>
      <c r="AB11" s="676" t="s">
        <v>352</v>
      </c>
      <c r="AC11" s="652" t="s">
        <v>146</v>
      </c>
      <c r="AD11" s="652" t="s">
        <v>147</v>
      </c>
      <c r="AE11" s="656" t="s">
        <v>353</v>
      </c>
      <c r="AF11" s="658" t="s">
        <v>354</v>
      </c>
      <c r="AG11" s="652" t="s">
        <v>149</v>
      </c>
      <c r="AH11" s="652" t="s">
        <v>355</v>
      </c>
      <c r="AI11" s="652" t="s">
        <v>356</v>
      </c>
      <c r="AJ11" s="652" t="s">
        <v>357</v>
      </c>
      <c r="AK11" s="652" t="s">
        <v>358</v>
      </c>
      <c r="AL11" s="653"/>
      <c r="AM11" s="660" t="s">
        <v>359</v>
      </c>
      <c r="AN11" s="661"/>
      <c r="AO11" s="662" t="s">
        <v>360</v>
      </c>
      <c r="AP11" s="663"/>
      <c r="AQ11" s="664" t="s">
        <v>361</v>
      </c>
      <c r="AR11" s="665"/>
      <c r="AS11" s="652" t="s">
        <v>362</v>
      </c>
      <c r="AT11" s="666"/>
      <c r="AU11" s="654"/>
      <c r="AV11" s="649" t="s">
        <v>150</v>
      </c>
      <c r="AW11" s="641" t="s">
        <v>151</v>
      </c>
      <c r="AX11" s="401"/>
      <c r="AY11" s="648" t="s">
        <v>152</v>
      </c>
      <c r="AZ11" s="648"/>
      <c r="BA11" s="648"/>
      <c r="BB11" s="648"/>
      <c r="BC11" s="651" t="s">
        <v>153</v>
      </c>
      <c r="BD11" s="651"/>
      <c r="BE11" s="645" t="s">
        <v>154</v>
      </c>
      <c r="BF11" s="645" t="s">
        <v>155</v>
      </c>
      <c r="BG11" s="645" t="s">
        <v>156</v>
      </c>
      <c r="BH11" s="648" t="s">
        <v>157</v>
      </c>
      <c r="BI11" s="648"/>
      <c r="BJ11" s="648" t="s">
        <v>158</v>
      </c>
      <c r="BK11" s="648"/>
      <c r="BL11" s="648" t="s">
        <v>159</v>
      </c>
      <c r="BM11" s="648"/>
      <c r="BN11" s="648"/>
      <c r="BO11" s="648"/>
      <c r="BP11" s="648"/>
      <c r="BQ11" s="648"/>
      <c r="BR11" s="648"/>
      <c r="BS11" s="648"/>
      <c r="BT11" s="648"/>
      <c r="BU11" s="648"/>
      <c r="BV11" s="648"/>
      <c r="BW11" s="648"/>
      <c r="BX11" s="648" t="s">
        <v>160</v>
      </c>
      <c r="BY11" s="648"/>
      <c r="BZ11" s="648"/>
      <c r="CA11" s="648"/>
      <c r="CB11" s="648"/>
      <c r="CC11" s="648" t="s">
        <v>161</v>
      </c>
      <c r="CD11" s="648"/>
      <c r="CE11" s="648"/>
      <c r="CF11" s="648"/>
      <c r="CG11" s="648"/>
      <c r="CH11" s="648"/>
      <c r="CI11" s="648" t="s">
        <v>162</v>
      </c>
      <c r="CJ11" s="648"/>
      <c r="CK11" s="648" t="s">
        <v>163</v>
      </c>
      <c r="CL11" s="648"/>
      <c r="CM11" s="648"/>
      <c r="CN11" s="648"/>
      <c r="CO11" s="648"/>
      <c r="CP11" s="648" t="s">
        <v>164</v>
      </c>
      <c r="CQ11" s="648"/>
      <c r="CR11" s="648"/>
      <c r="CS11" s="648"/>
      <c r="CT11" s="648"/>
      <c r="CU11" s="648"/>
      <c r="CV11" s="648"/>
      <c r="CW11" s="648"/>
      <c r="CX11" s="648"/>
      <c r="CY11" s="648"/>
      <c r="CZ11" s="648"/>
      <c r="DA11" s="648"/>
      <c r="DB11" s="641" t="s">
        <v>165</v>
      </c>
      <c r="DC11" s="641" t="s">
        <v>166</v>
      </c>
      <c r="DD11" s="641" t="s">
        <v>167</v>
      </c>
      <c r="DE11" s="641" t="s">
        <v>168</v>
      </c>
      <c r="DF11" s="641" t="s">
        <v>169</v>
      </c>
      <c r="DG11" s="641" t="s">
        <v>170</v>
      </c>
      <c r="DH11" s="643" t="s">
        <v>171</v>
      </c>
    </row>
    <row r="12" spans="1:112" s="227" customFormat="1" ht="72.75" customHeight="1" x14ac:dyDescent="0.2">
      <c r="B12" s="682"/>
      <c r="C12" s="653"/>
      <c r="D12" s="233" t="s">
        <v>172</v>
      </c>
      <c r="E12" s="233" t="s">
        <v>173</v>
      </c>
      <c r="F12" s="653"/>
      <c r="G12" s="653"/>
      <c r="H12" s="652"/>
      <c r="I12" s="653"/>
      <c r="J12" s="653"/>
      <c r="K12" s="653"/>
      <c r="L12" s="659"/>
      <c r="M12" s="653"/>
      <c r="N12" s="653"/>
      <c r="O12" s="653"/>
      <c r="P12" s="657"/>
      <c r="Q12" s="653"/>
      <c r="R12" s="653"/>
      <c r="S12" s="653"/>
      <c r="T12" s="653"/>
      <c r="U12" s="653"/>
      <c r="V12" s="659"/>
      <c r="W12" s="659"/>
      <c r="X12" s="659"/>
      <c r="Y12" s="685"/>
      <c r="Z12" s="659"/>
      <c r="AA12" s="653"/>
      <c r="AB12" s="677"/>
      <c r="AC12" s="653"/>
      <c r="AD12" s="653"/>
      <c r="AE12" s="657"/>
      <c r="AF12" s="659"/>
      <c r="AG12" s="653"/>
      <c r="AH12" s="653"/>
      <c r="AI12" s="653"/>
      <c r="AJ12" s="653"/>
      <c r="AK12" s="234" t="s">
        <v>363</v>
      </c>
      <c r="AL12" s="234" t="s">
        <v>364</v>
      </c>
      <c r="AM12" s="234" t="s">
        <v>363</v>
      </c>
      <c r="AN12" s="234" t="s">
        <v>364</v>
      </c>
      <c r="AO12" s="235" t="s">
        <v>363</v>
      </c>
      <c r="AP12" s="235" t="s">
        <v>364</v>
      </c>
      <c r="AQ12" s="236" t="s">
        <v>363</v>
      </c>
      <c r="AR12" s="236" t="s">
        <v>364</v>
      </c>
      <c r="AS12" s="234" t="s">
        <v>363</v>
      </c>
      <c r="AT12" s="237" t="s">
        <v>364</v>
      </c>
      <c r="AU12" s="655"/>
      <c r="AV12" s="650"/>
      <c r="AW12" s="642"/>
      <c r="AX12" s="238" t="s">
        <v>365</v>
      </c>
      <c r="AY12" s="238" t="s">
        <v>174</v>
      </c>
      <c r="AZ12" s="402" t="s">
        <v>366</v>
      </c>
      <c r="BA12" s="402" t="s">
        <v>175</v>
      </c>
      <c r="BB12" s="402" t="s">
        <v>176</v>
      </c>
      <c r="BC12" s="402" t="s">
        <v>177</v>
      </c>
      <c r="BD12" s="402" t="s">
        <v>178</v>
      </c>
      <c r="BE12" s="646"/>
      <c r="BF12" s="646"/>
      <c r="BG12" s="646"/>
      <c r="BH12" s="238" t="s">
        <v>179</v>
      </c>
      <c r="BI12" s="402" t="s">
        <v>180</v>
      </c>
      <c r="BJ12" s="402" t="s">
        <v>181</v>
      </c>
      <c r="BK12" s="402" t="s">
        <v>182</v>
      </c>
      <c r="BL12" s="402" t="s">
        <v>183</v>
      </c>
      <c r="BM12" s="402" t="s">
        <v>184</v>
      </c>
      <c r="BN12" s="402" t="s">
        <v>185</v>
      </c>
      <c r="BO12" s="402" t="s">
        <v>186</v>
      </c>
      <c r="BP12" s="402" t="s">
        <v>187</v>
      </c>
      <c r="BQ12" s="402" t="s">
        <v>188</v>
      </c>
      <c r="BR12" s="402" t="s">
        <v>189</v>
      </c>
      <c r="BS12" s="402" t="s">
        <v>190</v>
      </c>
      <c r="BT12" s="402" t="s">
        <v>191</v>
      </c>
      <c r="BU12" s="402" t="s">
        <v>192</v>
      </c>
      <c r="BV12" s="402" t="s">
        <v>193</v>
      </c>
      <c r="BW12" s="402" t="s">
        <v>194</v>
      </c>
      <c r="BX12" s="402" t="s">
        <v>195</v>
      </c>
      <c r="BY12" s="402" t="s">
        <v>196</v>
      </c>
      <c r="BZ12" s="402" t="s">
        <v>197</v>
      </c>
      <c r="CA12" s="402" t="s">
        <v>198</v>
      </c>
      <c r="CB12" s="402" t="s">
        <v>199</v>
      </c>
      <c r="CC12" s="402" t="s">
        <v>200</v>
      </c>
      <c r="CD12" s="402" t="s">
        <v>185</v>
      </c>
      <c r="CE12" s="402" t="s">
        <v>201</v>
      </c>
      <c r="CF12" s="402" t="s">
        <v>188</v>
      </c>
      <c r="CG12" s="402" t="s">
        <v>202</v>
      </c>
      <c r="CH12" s="402" t="s">
        <v>191</v>
      </c>
      <c r="CI12" s="402" t="s">
        <v>203</v>
      </c>
      <c r="CJ12" s="402" t="s">
        <v>204</v>
      </c>
      <c r="CK12" s="402" t="s">
        <v>26</v>
      </c>
      <c r="CL12" s="402" t="s">
        <v>205</v>
      </c>
      <c r="CM12" s="402" t="s">
        <v>206</v>
      </c>
      <c r="CN12" s="239" t="s">
        <v>207</v>
      </c>
      <c r="CO12" s="402" t="s">
        <v>208</v>
      </c>
      <c r="CP12" s="402" t="s">
        <v>183</v>
      </c>
      <c r="CQ12" s="402" t="s">
        <v>184</v>
      </c>
      <c r="CR12" s="402" t="s">
        <v>185</v>
      </c>
      <c r="CS12" s="402" t="s">
        <v>186</v>
      </c>
      <c r="CT12" s="402" t="s">
        <v>187</v>
      </c>
      <c r="CU12" s="402" t="s">
        <v>188</v>
      </c>
      <c r="CV12" s="402" t="s">
        <v>189</v>
      </c>
      <c r="CW12" s="402" t="s">
        <v>190</v>
      </c>
      <c r="CX12" s="402" t="s">
        <v>191</v>
      </c>
      <c r="CY12" s="402" t="s">
        <v>192</v>
      </c>
      <c r="CZ12" s="402" t="s">
        <v>193</v>
      </c>
      <c r="DA12" s="402" t="s">
        <v>194</v>
      </c>
      <c r="DB12" s="642"/>
      <c r="DC12" s="642"/>
      <c r="DD12" s="642"/>
      <c r="DE12" s="642"/>
      <c r="DF12" s="642"/>
      <c r="DG12" s="642"/>
      <c r="DH12" s="644"/>
    </row>
    <row r="13" spans="1:112" s="227" customFormat="1" ht="16.5" customHeight="1" x14ac:dyDescent="0.2">
      <c r="B13" s="240"/>
      <c r="C13" s="241"/>
      <c r="D13" s="242"/>
      <c r="E13" s="242"/>
      <c r="F13" s="241"/>
      <c r="G13" s="241"/>
      <c r="H13" s="243"/>
      <c r="I13" s="241"/>
      <c r="J13" s="241"/>
      <c r="K13" s="241"/>
      <c r="L13" s="241"/>
      <c r="M13" s="241"/>
      <c r="N13" s="241"/>
      <c r="O13" s="241"/>
      <c r="P13" s="244"/>
      <c r="Q13" s="241"/>
      <c r="R13" s="241"/>
      <c r="S13" s="241"/>
      <c r="T13" s="241"/>
      <c r="U13" s="241"/>
      <c r="V13" s="245"/>
      <c r="W13" s="241"/>
      <c r="X13" s="246"/>
      <c r="Y13" s="243"/>
      <c r="Z13" s="241"/>
      <c r="AA13" s="241"/>
      <c r="AB13" s="247"/>
      <c r="AC13" s="241"/>
      <c r="AD13" s="241"/>
      <c r="AE13" s="244"/>
      <c r="AF13" s="241"/>
      <c r="AG13" s="241"/>
      <c r="AH13" s="241"/>
      <c r="AI13" s="241"/>
      <c r="AJ13" s="241"/>
      <c r="AK13" s="243"/>
      <c r="AL13" s="243"/>
      <c r="AM13" s="243"/>
      <c r="AN13" s="243"/>
      <c r="AO13" s="248"/>
      <c r="AP13" s="249"/>
      <c r="AQ13" s="241"/>
      <c r="AR13" s="241"/>
      <c r="AS13" s="243"/>
      <c r="AT13" s="250"/>
      <c r="AU13" s="232"/>
      <c r="AV13" s="251" t="s">
        <v>150</v>
      </c>
      <c r="AW13" s="252" t="s">
        <v>4</v>
      </c>
      <c r="AX13" s="253" t="s">
        <v>99</v>
      </c>
      <c r="AY13" s="253" t="s">
        <v>99</v>
      </c>
      <c r="AZ13" s="252" t="s">
        <v>209</v>
      </c>
      <c r="BA13" s="252" t="s">
        <v>209</v>
      </c>
      <c r="BB13" s="252" t="s">
        <v>95</v>
      </c>
      <c r="BC13" s="252" t="s">
        <v>4</v>
      </c>
      <c r="BD13" s="252" t="s">
        <v>4</v>
      </c>
      <c r="BE13" s="252" t="s">
        <v>4</v>
      </c>
      <c r="BF13" s="253" t="s">
        <v>95</v>
      </c>
      <c r="BG13" s="253" t="s">
        <v>95</v>
      </c>
      <c r="BH13" s="253" t="s">
        <v>4</v>
      </c>
      <c r="BI13" s="252" t="s">
        <v>4</v>
      </c>
      <c r="BJ13" s="252" t="s">
        <v>4</v>
      </c>
      <c r="BK13" s="252" t="s">
        <v>4</v>
      </c>
      <c r="BL13" s="252" t="s">
        <v>3</v>
      </c>
      <c r="BM13" s="252" t="s">
        <v>3</v>
      </c>
      <c r="BN13" s="252" t="s">
        <v>3</v>
      </c>
      <c r="BO13" s="252" t="s">
        <v>3</v>
      </c>
      <c r="BP13" s="252" t="s">
        <v>3</v>
      </c>
      <c r="BQ13" s="252" t="s">
        <v>3</v>
      </c>
      <c r="BR13" s="252" t="s">
        <v>3</v>
      </c>
      <c r="BS13" s="252" t="s">
        <v>3</v>
      </c>
      <c r="BT13" s="252" t="s">
        <v>3</v>
      </c>
      <c r="BU13" s="252" t="s">
        <v>3</v>
      </c>
      <c r="BV13" s="252" t="s">
        <v>3</v>
      </c>
      <c r="BW13" s="252" t="s">
        <v>3</v>
      </c>
      <c r="BX13" s="252" t="s">
        <v>3</v>
      </c>
      <c r="BY13" s="252" t="s">
        <v>210</v>
      </c>
      <c r="BZ13" s="252" t="s">
        <v>210</v>
      </c>
      <c r="CA13" s="252" t="s">
        <v>3</v>
      </c>
      <c r="CB13" s="252" t="s">
        <v>3</v>
      </c>
      <c r="CC13" s="252" t="s">
        <v>2</v>
      </c>
      <c r="CD13" s="252" t="s">
        <v>2</v>
      </c>
      <c r="CE13" s="252" t="s">
        <v>2</v>
      </c>
      <c r="CF13" s="252" t="s">
        <v>2</v>
      </c>
      <c r="CG13" s="252" t="s">
        <v>2</v>
      </c>
      <c r="CH13" s="252" t="s">
        <v>2</v>
      </c>
      <c r="CI13" s="252" t="s">
        <v>2</v>
      </c>
      <c r="CJ13" s="252" t="s">
        <v>2</v>
      </c>
      <c r="CK13" s="252" t="s">
        <v>95</v>
      </c>
      <c r="CL13" s="252" t="s">
        <v>3</v>
      </c>
      <c r="CM13" s="252" t="s">
        <v>3</v>
      </c>
      <c r="CN13" s="254" t="s">
        <v>210</v>
      </c>
      <c r="CO13" s="252" t="s">
        <v>3</v>
      </c>
      <c r="CP13" s="252" t="s">
        <v>3</v>
      </c>
      <c r="CQ13" s="252" t="s">
        <v>3</v>
      </c>
      <c r="CR13" s="252" t="s">
        <v>3</v>
      </c>
      <c r="CS13" s="252" t="s">
        <v>3</v>
      </c>
      <c r="CT13" s="252" t="s">
        <v>3</v>
      </c>
      <c r="CU13" s="252" t="s">
        <v>3</v>
      </c>
      <c r="CV13" s="252" t="s">
        <v>3</v>
      </c>
      <c r="CW13" s="252" t="s">
        <v>3</v>
      </c>
      <c r="CX13" s="252" t="s">
        <v>3</v>
      </c>
      <c r="CY13" s="252" t="s">
        <v>3</v>
      </c>
      <c r="CZ13" s="252" t="s">
        <v>3</v>
      </c>
      <c r="DA13" s="252" t="s">
        <v>3</v>
      </c>
      <c r="DB13" s="252" t="s">
        <v>211</v>
      </c>
      <c r="DC13" s="252" t="s">
        <v>4</v>
      </c>
      <c r="DD13" s="252" t="s">
        <v>4</v>
      </c>
      <c r="DE13" s="252" t="s">
        <v>4</v>
      </c>
      <c r="DF13" s="252" t="s">
        <v>4</v>
      </c>
      <c r="DG13" s="252" t="s">
        <v>4</v>
      </c>
      <c r="DH13" s="403" t="s">
        <v>4</v>
      </c>
    </row>
    <row r="14" spans="1:112" ht="16.5" hidden="1" customHeight="1" x14ac:dyDescent="0.2">
      <c r="A14" s="647"/>
      <c r="B14" s="255" t="s">
        <v>212</v>
      </c>
      <c r="C14" s="256">
        <v>116</v>
      </c>
      <c r="D14" s="257">
        <v>2.25</v>
      </c>
      <c r="E14" s="257">
        <v>2.25</v>
      </c>
      <c r="F14" s="258">
        <v>0.6</v>
      </c>
      <c r="G14" s="258">
        <v>0.88546749329555607</v>
      </c>
      <c r="H14" s="258">
        <v>0.88546749329555607</v>
      </c>
      <c r="I14" s="258">
        <v>0.49983377720112065</v>
      </c>
      <c r="J14" s="257">
        <v>165.96086842678179</v>
      </c>
      <c r="K14" s="258">
        <v>0.45944257365175495</v>
      </c>
      <c r="L14" s="258">
        <v>0</v>
      </c>
      <c r="M14" s="258">
        <v>9.1412025805375219</v>
      </c>
      <c r="N14" s="258">
        <v>1.0726004926924309</v>
      </c>
      <c r="O14" s="258">
        <v>0.72500000000002274</v>
      </c>
      <c r="P14" s="259">
        <v>6.2500000000001964E-3</v>
      </c>
      <c r="Q14" s="258">
        <v>0.45944257365175489</v>
      </c>
      <c r="R14" s="258">
        <v>0.72500000000002274</v>
      </c>
      <c r="S14" s="260">
        <v>6.2500000000001964E-3</v>
      </c>
      <c r="T14" s="261">
        <v>0.62083348184063059</v>
      </c>
      <c r="U14" s="262">
        <v>0.30271932235228521</v>
      </c>
      <c r="V14" s="263">
        <v>0</v>
      </c>
      <c r="W14" s="263">
        <v>0</v>
      </c>
      <c r="X14" s="264">
        <v>1</v>
      </c>
      <c r="Y14" s="265"/>
      <c r="Z14" s="266">
        <v>0.8</v>
      </c>
      <c r="AA14" s="262">
        <v>0.50265482457436694</v>
      </c>
      <c r="AB14" s="267">
        <v>1.8024729118670266</v>
      </c>
      <c r="AC14" s="258">
        <v>0.15805534526260173</v>
      </c>
      <c r="AD14" s="258">
        <v>0.25</v>
      </c>
      <c r="AE14" s="259">
        <v>0.5</v>
      </c>
      <c r="AF14" s="258">
        <v>0.4</v>
      </c>
      <c r="AG14" s="258">
        <v>0.2</v>
      </c>
      <c r="AH14" s="258">
        <v>0.9746826632001756</v>
      </c>
      <c r="AI14" s="258">
        <v>0</v>
      </c>
      <c r="AJ14" s="267">
        <v>0.9746826632001756</v>
      </c>
      <c r="AK14" s="258">
        <v>318.56900000000002</v>
      </c>
      <c r="AL14" s="268">
        <v>317.84399999999999</v>
      </c>
      <c r="AM14" s="257">
        <v>1.5</v>
      </c>
      <c r="AN14" s="257">
        <v>1.5</v>
      </c>
      <c r="AO14" s="269">
        <v>317.06900000000002</v>
      </c>
      <c r="AP14" s="269">
        <v>316.34399999999999</v>
      </c>
      <c r="AQ14" s="258">
        <v>317.46899999999999</v>
      </c>
      <c r="AR14" s="258">
        <v>316.74399999999997</v>
      </c>
      <c r="AS14" s="257">
        <v>0.61599999999998545</v>
      </c>
      <c r="AT14" s="270">
        <v>0.61599999999998545</v>
      </c>
      <c r="AU14" s="271"/>
      <c r="AV14" s="404" t="s">
        <v>212</v>
      </c>
      <c r="AW14" s="272"/>
      <c r="AX14" s="273"/>
      <c r="AY14" s="273"/>
      <c r="AZ14" s="273"/>
      <c r="BA14" s="273"/>
      <c r="BB14" s="274"/>
      <c r="BC14" s="275"/>
      <c r="BD14" s="275"/>
      <c r="BE14" s="275"/>
      <c r="BF14" s="276"/>
      <c r="BG14" s="276"/>
      <c r="BH14" s="275"/>
      <c r="BI14" s="275"/>
      <c r="BJ14" s="275"/>
      <c r="BK14" s="275"/>
      <c r="BL14" s="275"/>
      <c r="BM14" s="275"/>
      <c r="BN14" s="275"/>
      <c r="BO14" s="275"/>
      <c r="BP14" s="275"/>
      <c r="BQ14" s="275"/>
      <c r="BR14" s="275"/>
      <c r="BS14" s="275"/>
      <c r="BT14" s="275"/>
      <c r="BU14" s="275"/>
      <c r="BV14" s="275"/>
      <c r="BW14" s="275"/>
      <c r="BX14" s="275"/>
      <c r="BY14" s="54"/>
      <c r="BZ14" s="54"/>
      <c r="CA14" s="275"/>
      <c r="CB14" s="275"/>
      <c r="CC14" s="275"/>
      <c r="CD14" s="275"/>
      <c r="CE14" s="275"/>
      <c r="CF14" s="275"/>
      <c r="CG14" s="275"/>
      <c r="CH14" s="275"/>
      <c r="CI14" s="275"/>
      <c r="CJ14" s="275"/>
      <c r="CK14" s="274"/>
      <c r="CL14" s="275"/>
      <c r="CM14" s="275"/>
      <c r="CN14" s="277"/>
      <c r="CO14" s="275"/>
      <c r="CP14" s="275"/>
      <c r="CQ14" s="275"/>
      <c r="CR14" s="275"/>
      <c r="CS14" s="275"/>
      <c r="CT14" s="275"/>
      <c r="CU14" s="275"/>
      <c r="CV14" s="275"/>
      <c r="CW14" s="275"/>
      <c r="CX14" s="275"/>
      <c r="CY14" s="275"/>
      <c r="CZ14" s="275"/>
      <c r="DA14" s="275"/>
      <c r="DB14" s="275"/>
      <c r="DC14" s="275"/>
      <c r="DD14" s="275"/>
      <c r="DE14" s="275"/>
      <c r="DF14" s="275"/>
      <c r="DG14" s="275"/>
      <c r="DH14" s="405"/>
    </row>
    <row r="15" spans="1:112" ht="16.5" hidden="1" customHeight="1" x14ac:dyDescent="0.2">
      <c r="A15" s="647"/>
      <c r="B15" s="255" t="s">
        <v>215</v>
      </c>
      <c r="C15" s="256">
        <v>116</v>
      </c>
      <c r="D15" s="257">
        <v>2.2000000000000002</v>
      </c>
      <c r="E15" s="257">
        <v>4.45</v>
      </c>
      <c r="F15" s="258">
        <v>0.6</v>
      </c>
      <c r="G15" s="258">
        <v>0.79936660038933782</v>
      </c>
      <c r="H15" s="258">
        <v>0.79936660038933782</v>
      </c>
      <c r="I15" s="258">
        <v>0.51194509539621047</v>
      </c>
      <c r="J15" s="257">
        <v>159.59339332705193</v>
      </c>
      <c r="K15" s="258">
        <v>0.8079585867391984</v>
      </c>
      <c r="L15" s="258">
        <v>0</v>
      </c>
      <c r="M15" s="258">
        <v>10.213803073229952</v>
      </c>
      <c r="N15" s="258">
        <v>0.96014923377509354</v>
      </c>
      <c r="O15" s="258">
        <v>0.70699999999999363</v>
      </c>
      <c r="P15" s="259">
        <v>6.0948275862068415E-3</v>
      </c>
      <c r="Q15" s="258">
        <v>0.39944020018567111</v>
      </c>
      <c r="R15" s="258">
        <v>0.70699999999999363</v>
      </c>
      <c r="S15" s="260">
        <v>6.0948275862068415E-3</v>
      </c>
      <c r="T15" s="261">
        <v>0.77082637454889369</v>
      </c>
      <c r="U15" s="262">
        <v>0.46666261832433192</v>
      </c>
      <c r="V15" s="263">
        <v>0</v>
      </c>
      <c r="W15" s="263">
        <v>0</v>
      </c>
      <c r="X15" s="264">
        <v>1</v>
      </c>
      <c r="Y15" s="265"/>
      <c r="Z15" s="266">
        <v>0.8</v>
      </c>
      <c r="AA15" s="262">
        <v>0.50265482457436694</v>
      </c>
      <c r="AB15" s="267">
        <v>2.0135758747959378</v>
      </c>
      <c r="AC15" s="258">
        <v>0.28146626424086835</v>
      </c>
      <c r="AD15" s="258">
        <v>0.30080000000000001</v>
      </c>
      <c r="AE15" s="259">
        <v>0.74</v>
      </c>
      <c r="AF15" s="258">
        <v>0.59199999999999997</v>
      </c>
      <c r="AG15" s="258">
        <v>0.24064000000000002</v>
      </c>
      <c r="AH15" s="258">
        <v>0.96250710687401453</v>
      </c>
      <c r="AI15" s="258">
        <v>0</v>
      </c>
      <c r="AJ15" s="267">
        <v>0.96250710687401453</v>
      </c>
      <c r="AK15" s="258">
        <v>317.84399999999999</v>
      </c>
      <c r="AL15" s="268">
        <v>317.137</v>
      </c>
      <c r="AM15" s="257">
        <v>1.5</v>
      </c>
      <c r="AN15" s="257">
        <v>1.5</v>
      </c>
      <c r="AO15" s="269">
        <v>316.34399999999999</v>
      </c>
      <c r="AP15" s="269">
        <v>315.637</v>
      </c>
      <c r="AQ15" s="258">
        <v>316.93599999999998</v>
      </c>
      <c r="AR15" s="258">
        <v>316.22899999999998</v>
      </c>
      <c r="AS15" s="257">
        <v>0.61599999999998545</v>
      </c>
      <c r="AT15" s="270">
        <v>0.61599999999998545</v>
      </c>
      <c r="AU15" s="271"/>
      <c r="AV15" s="404" t="s">
        <v>215</v>
      </c>
      <c r="AW15" s="272"/>
      <c r="AX15" s="273"/>
      <c r="AY15" s="273"/>
      <c r="AZ15" s="273"/>
      <c r="BA15" s="273"/>
      <c r="BB15" s="274"/>
      <c r="BC15" s="275"/>
      <c r="BD15" s="275"/>
      <c r="BE15" s="275"/>
      <c r="BF15" s="276"/>
      <c r="BG15" s="276"/>
      <c r="BH15" s="275"/>
      <c r="BI15" s="275"/>
      <c r="BJ15" s="275"/>
      <c r="BK15" s="275"/>
      <c r="BL15" s="275"/>
      <c r="BM15" s="275"/>
      <c r="BN15" s="275"/>
      <c r="BO15" s="275"/>
      <c r="BP15" s="275"/>
      <c r="BQ15" s="275"/>
      <c r="BR15" s="275"/>
      <c r="BS15" s="275"/>
      <c r="BT15" s="275"/>
      <c r="BU15" s="275"/>
      <c r="BV15" s="275"/>
      <c r="BW15" s="275"/>
      <c r="BX15" s="275"/>
      <c r="BY15" s="54"/>
      <c r="BZ15" s="54"/>
      <c r="CA15" s="275"/>
      <c r="CB15" s="275"/>
      <c r="CC15" s="275"/>
      <c r="CD15" s="275"/>
      <c r="CE15" s="275"/>
      <c r="CF15" s="275"/>
      <c r="CG15" s="275"/>
      <c r="CH15" s="275"/>
      <c r="CI15" s="275"/>
      <c r="CJ15" s="275"/>
      <c r="CK15" s="274"/>
      <c r="CL15" s="275"/>
      <c r="CM15" s="275"/>
      <c r="CN15" s="277"/>
      <c r="CO15" s="275"/>
      <c r="CP15" s="275"/>
      <c r="CQ15" s="275"/>
      <c r="CR15" s="275"/>
      <c r="CS15" s="275"/>
      <c r="CT15" s="275"/>
      <c r="CU15" s="275"/>
      <c r="CV15" s="275"/>
      <c r="CW15" s="275"/>
      <c r="CX15" s="275"/>
      <c r="CY15" s="275"/>
      <c r="CZ15" s="275"/>
      <c r="DA15" s="275"/>
      <c r="DB15" s="275"/>
      <c r="DC15" s="275"/>
      <c r="DD15" s="275"/>
      <c r="DE15" s="275"/>
      <c r="DF15" s="275"/>
      <c r="DG15" s="275"/>
      <c r="DH15" s="405"/>
    </row>
    <row r="16" spans="1:112" ht="16.5" hidden="1" customHeight="1" x14ac:dyDescent="0.2">
      <c r="A16" s="647"/>
      <c r="B16" s="255" t="s">
        <v>216</v>
      </c>
      <c r="C16" s="256">
        <v>116</v>
      </c>
      <c r="D16" s="257">
        <v>2.2200000000000002</v>
      </c>
      <c r="E16" s="257">
        <v>6.67</v>
      </c>
      <c r="F16" s="258">
        <v>0.6</v>
      </c>
      <c r="G16" s="258">
        <v>0.75228278714172603</v>
      </c>
      <c r="H16" s="258">
        <v>0.75228278714172603</v>
      </c>
      <c r="I16" s="258">
        <v>0.52164820995145722</v>
      </c>
      <c r="J16" s="257">
        <v>154.33292244732229</v>
      </c>
      <c r="K16" s="258">
        <v>1.1230214623096262</v>
      </c>
      <c r="L16" s="258">
        <v>0</v>
      </c>
      <c r="M16" s="258">
        <v>11.173952307005045</v>
      </c>
      <c r="N16" s="258">
        <v>0.7954183470432481</v>
      </c>
      <c r="O16" s="258">
        <v>1.0219999999999914</v>
      </c>
      <c r="P16" s="259">
        <v>8.8103448275861328E-3</v>
      </c>
      <c r="Q16" s="258">
        <v>0.37377925732044542</v>
      </c>
      <c r="R16" s="258">
        <v>0.72199999999997999</v>
      </c>
      <c r="S16" s="260">
        <v>6.2241379310343107E-3</v>
      </c>
      <c r="T16" s="261">
        <v>0.81390791414417785</v>
      </c>
      <c r="U16" s="262">
        <v>0.52028394456152149</v>
      </c>
      <c r="V16" s="263">
        <v>0</v>
      </c>
      <c r="W16" s="263">
        <v>0</v>
      </c>
      <c r="X16" s="264">
        <v>1</v>
      </c>
      <c r="Y16" s="265"/>
      <c r="Z16" s="266">
        <v>0.8</v>
      </c>
      <c r="AA16" s="262">
        <v>0.50265482457436694</v>
      </c>
      <c r="AB16" s="267">
        <v>2.430586798154676</v>
      </c>
      <c r="AC16" s="258">
        <v>0.32539401702585585</v>
      </c>
      <c r="AD16" s="258">
        <v>0.30259999999999998</v>
      </c>
      <c r="AE16" s="259">
        <v>0.86</v>
      </c>
      <c r="AF16" s="258">
        <v>0.68800000000000006</v>
      </c>
      <c r="AG16" s="258">
        <v>0.24207999999999999</v>
      </c>
      <c r="AH16" s="258">
        <v>1.1572300056956424</v>
      </c>
      <c r="AI16" s="258">
        <v>0</v>
      </c>
      <c r="AJ16" s="267">
        <v>1.1572300056956424</v>
      </c>
      <c r="AK16" s="258">
        <v>317.137</v>
      </c>
      <c r="AL16" s="268">
        <v>316.41500000000002</v>
      </c>
      <c r="AM16" s="257">
        <v>1.5</v>
      </c>
      <c r="AN16" s="257">
        <v>1.8</v>
      </c>
      <c r="AO16" s="269">
        <v>315.637</v>
      </c>
      <c r="AP16" s="269">
        <v>314.61500000000001</v>
      </c>
      <c r="AQ16" s="258">
        <v>316.32499999999999</v>
      </c>
      <c r="AR16" s="258">
        <v>315.303</v>
      </c>
      <c r="AS16" s="257">
        <v>0.61599999999998545</v>
      </c>
      <c r="AT16" s="270">
        <v>0.91599999999999682</v>
      </c>
      <c r="AU16" s="271"/>
      <c r="AV16" s="404" t="s">
        <v>216</v>
      </c>
      <c r="AW16" s="272"/>
      <c r="AX16" s="273"/>
      <c r="AY16" s="273"/>
      <c r="AZ16" s="273"/>
      <c r="BA16" s="273"/>
      <c r="BB16" s="274"/>
      <c r="BC16" s="275"/>
      <c r="BD16" s="275"/>
      <c r="BE16" s="275"/>
      <c r="BF16" s="276"/>
      <c r="BG16" s="276"/>
      <c r="BH16" s="275"/>
      <c r="BI16" s="275"/>
      <c r="BJ16" s="275"/>
      <c r="BK16" s="275"/>
      <c r="BL16" s="275"/>
      <c r="BM16" s="275"/>
      <c r="BN16" s="275"/>
      <c r="BO16" s="275"/>
      <c r="BP16" s="275"/>
      <c r="BQ16" s="275"/>
      <c r="BR16" s="275"/>
      <c r="BS16" s="275"/>
      <c r="BT16" s="275"/>
      <c r="BU16" s="275"/>
      <c r="BV16" s="275"/>
      <c r="BW16" s="275"/>
      <c r="BX16" s="275"/>
      <c r="BY16" s="54"/>
      <c r="BZ16" s="54"/>
      <c r="CA16" s="275"/>
      <c r="CB16" s="275"/>
      <c r="CC16" s="275"/>
      <c r="CD16" s="275"/>
      <c r="CE16" s="275"/>
      <c r="CF16" s="275"/>
      <c r="CG16" s="275"/>
      <c r="CH16" s="275"/>
      <c r="CI16" s="275"/>
      <c r="CJ16" s="275"/>
      <c r="CK16" s="274"/>
      <c r="CL16" s="275"/>
      <c r="CM16" s="275"/>
      <c r="CN16" s="277"/>
      <c r="CO16" s="275"/>
      <c r="CP16" s="275"/>
      <c r="CQ16" s="275"/>
      <c r="CR16" s="275"/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  <c r="DC16" s="275"/>
      <c r="DD16" s="275"/>
      <c r="DE16" s="275"/>
      <c r="DF16" s="275"/>
      <c r="DG16" s="275"/>
      <c r="DH16" s="405"/>
    </row>
    <row r="17" spans="1:112" ht="16.5" hidden="1" customHeight="1" x14ac:dyDescent="0.2">
      <c r="A17" s="647"/>
      <c r="B17" s="255" t="s">
        <v>217</v>
      </c>
      <c r="C17" s="256">
        <v>96</v>
      </c>
      <c r="D17" s="257">
        <v>2.11</v>
      </c>
      <c r="E17" s="257">
        <v>8.7799999999999994</v>
      </c>
      <c r="F17" s="258">
        <v>0.6</v>
      </c>
      <c r="G17" s="258">
        <v>0.72189797340573247</v>
      </c>
      <c r="H17" s="258">
        <v>0.72189797340573247</v>
      </c>
      <c r="I17" s="258">
        <v>0.52900125229041117</v>
      </c>
      <c r="J17" s="257">
        <v>150.25571989407206</v>
      </c>
      <c r="K17" s="258">
        <v>1.4005636422997847</v>
      </c>
      <c r="L17" s="258">
        <v>0</v>
      </c>
      <c r="M17" s="258">
        <v>11.969370654048294</v>
      </c>
      <c r="N17" s="258">
        <v>0.67591681632912604</v>
      </c>
      <c r="O17" s="258">
        <v>0.61299999999999955</v>
      </c>
      <c r="P17" s="259">
        <v>6.3854166666666616E-3</v>
      </c>
      <c r="Q17" s="258">
        <v>0.3365819231494927</v>
      </c>
      <c r="R17" s="258">
        <v>0.61299999999999955</v>
      </c>
      <c r="S17" s="260">
        <v>6.3854166666666616E-3</v>
      </c>
      <c r="T17" s="261">
        <v>0.93919658678568529</v>
      </c>
      <c r="U17" s="262">
        <v>0.692792045516744</v>
      </c>
      <c r="V17" s="263">
        <v>0</v>
      </c>
      <c r="W17" s="263">
        <v>0</v>
      </c>
      <c r="X17" s="264">
        <v>1</v>
      </c>
      <c r="Y17" s="265"/>
      <c r="Z17" s="266">
        <v>1</v>
      </c>
      <c r="AA17" s="262">
        <v>0.78539816339744828</v>
      </c>
      <c r="AB17" s="267">
        <v>2.3671551903228689</v>
      </c>
      <c r="AC17" s="258">
        <v>0.26290538789228524</v>
      </c>
      <c r="AD17" s="258">
        <v>0.29620000000000002</v>
      </c>
      <c r="AE17" s="259">
        <v>0.7</v>
      </c>
      <c r="AF17" s="258">
        <v>0.7</v>
      </c>
      <c r="AG17" s="258">
        <v>0.29620000000000002</v>
      </c>
      <c r="AH17" s="258">
        <v>1.7862595129964485</v>
      </c>
      <c r="AI17" s="258">
        <v>0</v>
      </c>
      <c r="AJ17" s="267">
        <v>1.7862595129964485</v>
      </c>
      <c r="AK17" s="258">
        <v>316.41500000000002</v>
      </c>
      <c r="AL17" s="268">
        <v>315.80200000000002</v>
      </c>
      <c r="AM17" s="257">
        <v>1.8</v>
      </c>
      <c r="AN17" s="257">
        <v>1.8</v>
      </c>
      <c r="AO17" s="269">
        <v>314.61500000000001</v>
      </c>
      <c r="AP17" s="269">
        <v>314.00200000000001</v>
      </c>
      <c r="AQ17" s="258">
        <v>315.315</v>
      </c>
      <c r="AR17" s="258">
        <v>314.702</v>
      </c>
      <c r="AS17" s="257">
        <v>0.69499999999999318</v>
      </c>
      <c r="AT17" s="270">
        <v>0.69499999999999318</v>
      </c>
      <c r="AU17" s="271"/>
      <c r="AV17" s="404" t="s">
        <v>217</v>
      </c>
      <c r="AW17" s="272"/>
      <c r="AX17" s="273"/>
      <c r="AY17" s="273"/>
      <c r="AZ17" s="273"/>
      <c r="BA17" s="273"/>
      <c r="BB17" s="274"/>
      <c r="BC17" s="275"/>
      <c r="BD17" s="275"/>
      <c r="BE17" s="275"/>
      <c r="BF17" s="276"/>
      <c r="BG17" s="276"/>
      <c r="BH17" s="275"/>
      <c r="BI17" s="275"/>
      <c r="BJ17" s="275"/>
      <c r="BK17" s="275"/>
      <c r="BL17" s="275"/>
      <c r="BM17" s="275"/>
      <c r="BN17" s="275"/>
      <c r="BO17" s="275"/>
      <c r="BP17" s="275"/>
      <c r="BQ17" s="275"/>
      <c r="BR17" s="275"/>
      <c r="BS17" s="275"/>
      <c r="BT17" s="275"/>
      <c r="BU17" s="275"/>
      <c r="BV17" s="275"/>
      <c r="BW17" s="275"/>
      <c r="BX17" s="275"/>
      <c r="BY17" s="54"/>
      <c r="BZ17" s="54"/>
      <c r="CA17" s="275"/>
      <c r="CB17" s="275"/>
      <c r="CC17" s="275"/>
      <c r="CD17" s="275"/>
      <c r="CE17" s="275"/>
      <c r="CF17" s="275"/>
      <c r="CG17" s="275"/>
      <c r="CH17" s="275"/>
      <c r="CI17" s="275"/>
      <c r="CJ17" s="275"/>
      <c r="CK17" s="274"/>
      <c r="CL17" s="275"/>
      <c r="CM17" s="275"/>
      <c r="CN17" s="277"/>
      <c r="CO17" s="275"/>
      <c r="CP17" s="275"/>
      <c r="CQ17" s="275"/>
      <c r="CR17" s="275"/>
      <c r="CS17" s="275"/>
      <c r="CT17" s="275"/>
      <c r="CU17" s="275"/>
      <c r="CV17" s="275"/>
      <c r="CW17" s="275"/>
      <c r="CX17" s="275"/>
      <c r="CY17" s="275"/>
      <c r="CZ17" s="275"/>
      <c r="DA17" s="275"/>
      <c r="DB17" s="275"/>
      <c r="DC17" s="275"/>
      <c r="DD17" s="275"/>
      <c r="DE17" s="275"/>
      <c r="DF17" s="275"/>
      <c r="DG17" s="275"/>
      <c r="DH17" s="405"/>
    </row>
    <row r="18" spans="1:112" ht="16.5" hidden="1" customHeight="1" x14ac:dyDescent="0.2">
      <c r="A18" s="647"/>
      <c r="B18" s="255" t="s">
        <v>367</v>
      </c>
      <c r="C18" s="256">
        <v>96</v>
      </c>
      <c r="D18" s="257">
        <v>1.87</v>
      </c>
      <c r="E18" s="257">
        <v>10.649999999999999</v>
      </c>
      <c r="F18" s="258">
        <v>0.6</v>
      </c>
      <c r="G18" s="258">
        <v>0.70128985900599228</v>
      </c>
      <c r="H18" s="258">
        <v>0.70128985900599228</v>
      </c>
      <c r="I18" s="258">
        <v>0.53482467654987875</v>
      </c>
      <c r="J18" s="257">
        <v>146.97309302084571</v>
      </c>
      <c r="K18" s="258">
        <v>1.6320792137898559</v>
      </c>
      <c r="L18" s="258">
        <v>0</v>
      </c>
      <c r="M18" s="258">
        <v>12.64528747037742</v>
      </c>
      <c r="N18" s="258">
        <v>0.57480520200196727</v>
      </c>
      <c r="O18" s="258">
        <v>0.85300000000000864</v>
      </c>
      <c r="P18" s="259">
        <v>8.8854166666667567E-3</v>
      </c>
      <c r="Q18" s="258">
        <v>0.28657165537906393</v>
      </c>
      <c r="R18" s="258">
        <v>0.85300000000000864</v>
      </c>
      <c r="S18" s="260">
        <v>8.8854166666667567E-3</v>
      </c>
      <c r="T18" s="261">
        <v>0.9349035217985503</v>
      </c>
      <c r="U18" s="262">
        <v>0.68647301969649077</v>
      </c>
      <c r="V18" s="263">
        <v>0</v>
      </c>
      <c r="W18" s="263">
        <v>0</v>
      </c>
      <c r="X18" s="264">
        <v>1</v>
      </c>
      <c r="Y18" s="265"/>
      <c r="Z18" s="266">
        <v>1</v>
      </c>
      <c r="AA18" s="262">
        <v>0.78539816339744828</v>
      </c>
      <c r="AB18" s="267">
        <v>2.7835517048687461</v>
      </c>
      <c r="AC18" s="258">
        <v>0.25971294302727638</v>
      </c>
      <c r="AD18" s="258">
        <v>0.29480000000000001</v>
      </c>
      <c r="AE18" s="259">
        <v>0.69</v>
      </c>
      <c r="AF18" s="258">
        <v>0.69</v>
      </c>
      <c r="AG18" s="258">
        <v>0.29480000000000001</v>
      </c>
      <c r="AH18" s="258">
        <v>2.1071178833816409</v>
      </c>
      <c r="AI18" s="258">
        <v>0</v>
      </c>
      <c r="AJ18" s="267">
        <v>2.1071178833816409</v>
      </c>
      <c r="AK18" s="258">
        <v>315.80200000000002</v>
      </c>
      <c r="AL18" s="268">
        <v>314.94900000000001</v>
      </c>
      <c r="AM18" s="257">
        <v>1.8</v>
      </c>
      <c r="AN18" s="257">
        <v>1.8</v>
      </c>
      <c r="AO18" s="269">
        <v>314.00200000000001</v>
      </c>
      <c r="AP18" s="269">
        <v>313.149</v>
      </c>
      <c r="AQ18" s="258">
        <v>314.69200000000001</v>
      </c>
      <c r="AR18" s="258">
        <v>313.839</v>
      </c>
      <c r="AS18" s="257">
        <v>0.69499999999999318</v>
      </c>
      <c r="AT18" s="270">
        <v>0.69499999999999318</v>
      </c>
      <c r="AU18" s="271"/>
      <c r="AV18" s="404" t="s">
        <v>367</v>
      </c>
      <c r="AW18" s="272"/>
      <c r="AX18" s="273"/>
      <c r="AY18" s="273"/>
      <c r="AZ18" s="273"/>
      <c r="BA18" s="273"/>
      <c r="BB18" s="274"/>
      <c r="BC18" s="275"/>
      <c r="BD18" s="275"/>
      <c r="BE18" s="275"/>
      <c r="BF18" s="276"/>
      <c r="BG18" s="276"/>
      <c r="BH18" s="275"/>
      <c r="BI18" s="275"/>
      <c r="BJ18" s="275"/>
      <c r="BK18" s="275"/>
      <c r="BL18" s="275"/>
      <c r="BM18" s="275"/>
      <c r="BN18" s="275"/>
      <c r="BO18" s="275"/>
      <c r="BP18" s="275"/>
      <c r="BQ18" s="275"/>
      <c r="BR18" s="275"/>
      <c r="BS18" s="275"/>
      <c r="BT18" s="275"/>
      <c r="BU18" s="275"/>
      <c r="BV18" s="275"/>
      <c r="BW18" s="275"/>
      <c r="BX18" s="275"/>
      <c r="BY18" s="54"/>
      <c r="BZ18" s="54"/>
      <c r="CA18" s="275"/>
      <c r="CB18" s="275"/>
      <c r="CC18" s="275"/>
      <c r="CD18" s="275"/>
      <c r="CE18" s="275"/>
      <c r="CF18" s="275"/>
      <c r="CG18" s="275"/>
      <c r="CH18" s="275"/>
      <c r="CI18" s="275"/>
      <c r="CJ18" s="275"/>
      <c r="CK18" s="274"/>
      <c r="CL18" s="275"/>
      <c r="CM18" s="275"/>
      <c r="CN18" s="277"/>
      <c r="CO18" s="275"/>
      <c r="CP18" s="275"/>
      <c r="CQ18" s="275"/>
      <c r="CR18" s="275"/>
      <c r="CS18" s="275"/>
      <c r="CT18" s="275"/>
      <c r="CU18" s="275"/>
      <c r="CV18" s="275"/>
      <c r="CW18" s="275"/>
      <c r="CX18" s="275"/>
      <c r="CY18" s="275"/>
      <c r="CZ18" s="275"/>
      <c r="DA18" s="275"/>
      <c r="DB18" s="275"/>
      <c r="DC18" s="275"/>
      <c r="DD18" s="275"/>
      <c r="DE18" s="275"/>
      <c r="DF18" s="275"/>
      <c r="DG18" s="275"/>
      <c r="DH18" s="405"/>
    </row>
    <row r="19" spans="1:112" ht="16.5" hidden="1" customHeight="1" x14ac:dyDescent="0.2">
      <c r="A19" s="647"/>
      <c r="B19" s="255" t="s">
        <v>368</v>
      </c>
      <c r="C19" s="256">
        <v>96</v>
      </c>
      <c r="D19" s="257">
        <v>1.88</v>
      </c>
      <c r="E19" s="257">
        <v>12.529999999999998</v>
      </c>
      <c r="F19" s="258">
        <v>0.6</v>
      </c>
      <c r="G19" s="258">
        <v>0.68439580575498815</v>
      </c>
      <c r="H19" s="258">
        <v>0.68439580575498815</v>
      </c>
      <c r="I19" s="258">
        <v>0.53950187047508347</v>
      </c>
      <c r="J19" s="257">
        <v>144.30340995884382</v>
      </c>
      <c r="K19" s="258">
        <v>1.8559777044332391</v>
      </c>
      <c r="L19" s="258">
        <v>0</v>
      </c>
      <c r="M19" s="258">
        <v>13.220092672379387</v>
      </c>
      <c r="N19" s="258">
        <v>0.57417344730819064</v>
      </c>
      <c r="O19" s="258">
        <v>0.82200000000000273</v>
      </c>
      <c r="P19" s="259">
        <v>8.5625000000000284E-3</v>
      </c>
      <c r="Q19" s="258">
        <v>0.27847071702589704</v>
      </c>
      <c r="R19" s="258">
        <v>0.82200000000000273</v>
      </c>
      <c r="S19" s="260">
        <v>8.5625000000000284E-3</v>
      </c>
      <c r="T19" s="261">
        <v>0.98791162013546607</v>
      </c>
      <c r="U19" s="262">
        <v>0.76652455010081044</v>
      </c>
      <c r="V19" s="263">
        <v>0</v>
      </c>
      <c r="W19" s="263">
        <v>0</v>
      </c>
      <c r="X19" s="264">
        <v>1</v>
      </c>
      <c r="Y19" s="265"/>
      <c r="Z19" s="266">
        <v>1</v>
      </c>
      <c r="AA19" s="262">
        <v>0.78539816339744828</v>
      </c>
      <c r="AB19" s="267">
        <v>2.7866144063279745</v>
      </c>
      <c r="AC19" s="258">
        <v>0.30085949459283334</v>
      </c>
      <c r="AD19" s="258">
        <v>0.30359999999999998</v>
      </c>
      <c r="AE19" s="259">
        <v>0.78</v>
      </c>
      <c r="AF19" s="258">
        <v>0.78</v>
      </c>
      <c r="AG19" s="258">
        <v>0.30359999999999998</v>
      </c>
      <c r="AH19" s="258">
        <v>2.0684747614933765</v>
      </c>
      <c r="AI19" s="258">
        <v>0</v>
      </c>
      <c r="AJ19" s="267">
        <v>2.0684747614933765</v>
      </c>
      <c r="AK19" s="258">
        <v>314.94900000000001</v>
      </c>
      <c r="AL19" s="268">
        <v>314.12700000000001</v>
      </c>
      <c r="AM19" s="257">
        <v>1.8</v>
      </c>
      <c r="AN19" s="257">
        <v>1.8</v>
      </c>
      <c r="AO19" s="269">
        <v>313.149</v>
      </c>
      <c r="AP19" s="269">
        <v>312.327</v>
      </c>
      <c r="AQ19" s="258">
        <v>313.92899999999997</v>
      </c>
      <c r="AR19" s="258">
        <v>313.10699999999997</v>
      </c>
      <c r="AS19" s="257">
        <v>0.69499999999999318</v>
      </c>
      <c r="AT19" s="270">
        <v>0.69499999999999318</v>
      </c>
      <c r="AU19" s="271"/>
      <c r="AV19" s="404" t="s">
        <v>368</v>
      </c>
      <c r="AW19" s="272"/>
      <c r="AX19" s="273"/>
      <c r="AY19" s="273"/>
      <c r="AZ19" s="273"/>
      <c r="BA19" s="273"/>
      <c r="BB19" s="274"/>
      <c r="BC19" s="275"/>
      <c r="BD19" s="275"/>
      <c r="BE19" s="275"/>
      <c r="BF19" s="276"/>
      <c r="BG19" s="276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54"/>
      <c r="BZ19" s="54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4"/>
      <c r="CL19" s="275"/>
      <c r="CM19" s="275"/>
      <c r="CN19" s="277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  <c r="DC19" s="275"/>
      <c r="DD19" s="275"/>
      <c r="DE19" s="275"/>
      <c r="DF19" s="275"/>
      <c r="DG19" s="275"/>
      <c r="DH19" s="405"/>
    </row>
    <row r="20" spans="1:112" ht="16.5" hidden="1" customHeight="1" x14ac:dyDescent="0.2">
      <c r="A20" s="647"/>
      <c r="B20" s="255" t="s">
        <v>369</v>
      </c>
      <c r="C20" s="256">
        <v>96</v>
      </c>
      <c r="D20" s="257">
        <v>1.89</v>
      </c>
      <c r="E20" s="257">
        <v>14.419999999999998</v>
      </c>
      <c r="F20" s="258">
        <v>0.6</v>
      </c>
      <c r="G20" s="258">
        <v>0.67012405985275447</v>
      </c>
      <c r="H20" s="258">
        <v>0.67012405985275447</v>
      </c>
      <c r="I20" s="258">
        <v>0.54394411326700087</v>
      </c>
      <c r="J20" s="257">
        <v>141.74131973708904</v>
      </c>
      <c r="K20" s="258">
        <v>2.0711713043131281</v>
      </c>
      <c r="L20" s="258">
        <v>0</v>
      </c>
      <c r="M20" s="258">
        <v>13.794266119687578</v>
      </c>
      <c r="N20" s="258">
        <v>0.52489553852816051</v>
      </c>
      <c r="O20" s="258">
        <v>0.98099999999999454</v>
      </c>
      <c r="P20" s="259">
        <v>1.0218749999999943E-2</v>
      </c>
      <c r="Q20" s="258">
        <v>0.27146420007987604</v>
      </c>
      <c r="R20" s="258">
        <v>0.78100000000000591</v>
      </c>
      <c r="S20" s="260">
        <v>8.1354166666667282E-3</v>
      </c>
      <c r="T20" s="261">
        <v>0.99582917395044124</v>
      </c>
      <c r="U20" s="262">
        <v>0.77886030778056725</v>
      </c>
      <c r="V20" s="263">
        <v>0</v>
      </c>
      <c r="W20" s="263">
        <v>0</v>
      </c>
      <c r="X20" s="264">
        <v>1</v>
      </c>
      <c r="Y20" s="265"/>
      <c r="Z20" s="266">
        <v>1</v>
      </c>
      <c r="AA20" s="262">
        <v>0.78539816339744828</v>
      </c>
      <c r="AB20" s="267">
        <v>3.0482255659602266</v>
      </c>
      <c r="AC20" s="258">
        <v>0.30733243174043628</v>
      </c>
      <c r="AD20" s="258">
        <v>0.30420000000000003</v>
      </c>
      <c r="AE20" s="259">
        <v>0.8</v>
      </c>
      <c r="AF20" s="258">
        <v>0.8</v>
      </c>
      <c r="AG20" s="258">
        <v>0.30420000000000003</v>
      </c>
      <c r="AH20" s="258">
        <v>2.2596897785694794</v>
      </c>
      <c r="AI20" s="258">
        <v>0</v>
      </c>
      <c r="AJ20" s="267">
        <v>2.2596897785694794</v>
      </c>
      <c r="AK20" s="258">
        <v>314.12700000000001</v>
      </c>
      <c r="AL20" s="268">
        <v>313.346</v>
      </c>
      <c r="AM20" s="257">
        <v>1.8</v>
      </c>
      <c r="AN20" s="257">
        <v>2</v>
      </c>
      <c r="AO20" s="269">
        <v>312.327</v>
      </c>
      <c r="AP20" s="269">
        <v>311.346</v>
      </c>
      <c r="AQ20" s="258">
        <v>313.12700000000001</v>
      </c>
      <c r="AR20" s="258">
        <v>312.14600000000002</v>
      </c>
      <c r="AS20" s="257">
        <v>0.69499999999999318</v>
      </c>
      <c r="AT20" s="270">
        <v>0.89499999999998181</v>
      </c>
      <c r="AU20" s="271"/>
      <c r="AV20" s="404" t="s">
        <v>369</v>
      </c>
      <c r="AW20" s="272"/>
      <c r="AX20" s="273"/>
      <c r="AY20" s="273"/>
      <c r="AZ20" s="273"/>
      <c r="BA20" s="273"/>
      <c r="BB20" s="274"/>
      <c r="BC20" s="275"/>
      <c r="BD20" s="275"/>
      <c r="BE20" s="275"/>
      <c r="BF20" s="276"/>
      <c r="BG20" s="276"/>
      <c r="BH20" s="275"/>
      <c r="BI20" s="275"/>
      <c r="BJ20" s="275"/>
      <c r="BK20" s="275"/>
      <c r="BL20" s="275"/>
      <c r="BM20" s="275"/>
      <c r="BN20" s="275"/>
      <c r="BO20" s="275"/>
      <c r="BP20" s="275"/>
      <c r="BQ20" s="275"/>
      <c r="BR20" s="275"/>
      <c r="BS20" s="275"/>
      <c r="BT20" s="275"/>
      <c r="BU20" s="275"/>
      <c r="BV20" s="275"/>
      <c r="BW20" s="275"/>
      <c r="BX20" s="275"/>
      <c r="BY20" s="54"/>
      <c r="BZ20" s="54"/>
      <c r="CA20" s="275"/>
      <c r="CB20" s="275"/>
      <c r="CC20" s="275"/>
      <c r="CD20" s="275"/>
      <c r="CE20" s="275"/>
      <c r="CF20" s="275"/>
      <c r="CG20" s="275"/>
      <c r="CH20" s="275"/>
      <c r="CI20" s="275"/>
      <c r="CJ20" s="275"/>
      <c r="CK20" s="274"/>
      <c r="CL20" s="275"/>
      <c r="CM20" s="275"/>
      <c r="CN20" s="277"/>
      <c r="CO20" s="275"/>
      <c r="CP20" s="275"/>
      <c r="CQ20" s="275"/>
      <c r="CR20" s="275"/>
      <c r="CS20" s="275"/>
      <c r="CT20" s="275"/>
      <c r="CU20" s="275"/>
      <c r="CV20" s="275"/>
      <c r="CW20" s="275"/>
      <c r="CX20" s="275"/>
      <c r="CY20" s="275"/>
      <c r="CZ20" s="275"/>
      <c r="DA20" s="275"/>
      <c r="DB20" s="275"/>
      <c r="DC20" s="275"/>
      <c r="DD20" s="275"/>
      <c r="DE20" s="275"/>
      <c r="DF20" s="275"/>
      <c r="DG20" s="275"/>
      <c r="DH20" s="405"/>
    </row>
    <row r="21" spans="1:112" ht="16.5" hidden="1" customHeight="1" x14ac:dyDescent="0.2">
      <c r="A21" s="647"/>
      <c r="B21" s="255" t="s">
        <v>370</v>
      </c>
      <c r="C21" s="256">
        <v>75</v>
      </c>
      <c r="D21" s="257">
        <v>1.77</v>
      </c>
      <c r="E21" s="257">
        <v>16.189999999999998</v>
      </c>
      <c r="F21" s="258">
        <v>0.6</v>
      </c>
      <c r="G21" s="258">
        <v>0.65858672531739393</v>
      </c>
      <c r="H21" s="258">
        <v>0.65858672531739393</v>
      </c>
      <c r="I21" s="258">
        <v>0.54782012385640499</v>
      </c>
      <c r="J21" s="257">
        <v>139.48534543519887</v>
      </c>
      <c r="K21" s="258">
        <v>2.2650155161321814</v>
      </c>
      <c r="L21" s="258">
        <v>0</v>
      </c>
      <c r="M21" s="258">
        <v>14.319161658215737</v>
      </c>
      <c r="N21" s="258">
        <v>0.74532971848053442</v>
      </c>
      <c r="O21" s="258">
        <v>0.23200000000002774</v>
      </c>
      <c r="P21" s="259">
        <v>3.0933333333337033E-3</v>
      </c>
      <c r="Q21" s="258">
        <v>0.24762677353637813</v>
      </c>
      <c r="R21" s="258">
        <v>0.23200000000002774</v>
      </c>
      <c r="S21" s="260">
        <v>3.0933333333337033E-3</v>
      </c>
      <c r="T21" s="261">
        <v>1.2884352648266653</v>
      </c>
      <c r="U21" s="262">
        <v>1.3038123411366846</v>
      </c>
      <c r="V21" s="263">
        <v>0</v>
      </c>
      <c r="W21" s="263">
        <v>0</v>
      </c>
      <c r="X21" s="264">
        <v>2</v>
      </c>
      <c r="Y21" s="265"/>
      <c r="Z21" s="266">
        <v>1</v>
      </c>
      <c r="AA21" s="262">
        <v>1.5707963267948966</v>
      </c>
      <c r="AB21" s="267">
        <v>1.6771101017524312</v>
      </c>
      <c r="AC21" s="258">
        <v>0.30543519861008217</v>
      </c>
      <c r="AD21" s="258">
        <v>0.30420000000000003</v>
      </c>
      <c r="AE21" s="259">
        <v>0.8</v>
      </c>
      <c r="AF21" s="258">
        <v>0.8</v>
      </c>
      <c r="AG21" s="258">
        <v>0.30420000000000003</v>
      </c>
      <c r="AH21" s="258">
        <v>2.4865276354781658</v>
      </c>
      <c r="AI21" s="258">
        <v>0</v>
      </c>
      <c r="AJ21" s="267">
        <v>2.4865276354781658</v>
      </c>
      <c r="AK21" s="258">
        <v>313.346</v>
      </c>
      <c r="AL21" s="268">
        <v>313.11399999999998</v>
      </c>
      <c r="AM21" s="257">
        <v>2</v>
      </c>
      <c r="AN21" s="257">
        <v>2</v>
      </c>
      <c r="AO21" s="269">
        <v>311.346</v>
      </c>
      <c r="AP21" s="269">
        <v>311.11399999999998</v>
      </c>
      <c r="AQ21" s="258">
        <v>312.14600000000002</v>
      </c>
      <c r="AR21" s="258">
        <v>311.91399999999999</v>
      </c>
      <c r="AS21" s="257">
        <v>0.89499999999998181</v>
      </c>
      <c r="AT21" s="270">
        <v>0.89499999999998181</v>
      </c>
      <c r="AU21" s="271"/>
      <c r="AV21" s="404" t="s">
        <v>370</v>
      </c>
      <c r="AW21" s="272"/>
      <c r="AX21" s="273"/>
      <c r="AY21" s="273"/>
      <c r="AZ21" s="273"/>
      <c r="BA21" s="273"/>
      <c r="BB21" s="274"/>
      <c r="BC21" s="275"/>
      <c r="BD21" s="275"/>
      <c r="BE21" s="275"/>
      <c r="BF21" s="276"/>
      <c r="BG21" s="276"/>
      <c r="BH21" s="275"/>
      <c r="BI21" s="275"/>
      <c r="BJ21" s="275"/>
      <c r="BK21" s="275"/>
      <c r="BL21" s="275"/>
      <c r="BM21" s="275"/>
      <c r="BN21" s="275"/>
      <c r="BO21" s="275"/>
      <c r="BP21" s="275"/>
      <c r="BQ21" s="275"/>
      <c r="BR21" s="275"/>
      <c r="BS21" s="275"/>
      <c r="BT21" s="275"/>
      <c r="BU21" s="275"/>
      <c r="BV21" s="275"/>
      <c r="BW21" s="275"/>
      <c r="BX21" s="275"/>
      <c r="BY21" s="54"/>
      <c r="BZ21" s="54"/>
      <c r="CA21" s="275"/>
      <c r="CB21" s="275"/>
      <c r="CC21" s="275"/>
      <c r="CD21" s="275"/>
      <c r="CE21" s="275"/>
      <c r="CF21" s="275"/>
      <c r="CG21" s="275"/>
      <c r="CH21" s="275"/>
      <c r="CI21" s="275"/>
      <c r="CJ21" s="275"/>
      <c r="CK21" s="274"/>
      <c r="CL21" s="275"/>
      <c r="CM21" s="275"/>
      <c r="CN21" s="277"/>
      <c r="CO21" s="275"/>
      <c r="CP21" s="275"/>
      <c r="CQ21" s="275"/>
      <c r="CR21" s="275"/>
      <c r="CS21" s="275"/>
      <c r="CT21" s="275"/>
      <c r="CU21" s="275"/>
      <c r="CV21" s="275"/>
      <c r="CW21" s="275"/>
      <c r="CX21" s="275"/>
      <c r="CY21" s="275"/>
      <c r="CZ21" s="275"/>
      <c r="DA21" s="275"/>
      <c r="DB21" s="275"/>
      <c r="DC21" s="275"/>
      <c r="DD21" s="275"/>
      <c r="DE21" s="275"/>
      <c r="DF21" s="275"/>
      <c r="DG21" s="275"/>
      <c r="DH21" s="405"/>
    </row>
    <row r="22" spans="1:112" ht="16.5" hidden="1" customHeight="1" x14ac:dyDescent="0.2">
      <c r="A22" s="647"/>
      <c r="B22" s="255" t="s">
        <v>371</v>
      </c>
      <c r="C22" s="256">
        <v>23</v>
      </c>
      <c r="D22" s="257">
        <v>1.65</v>
      </c>
      <c r="E22" s="257">
        <v>17.839999999999996</v>
      </c>
      <c r="F22" s="258">
        <v>0.6</v>
      </c>
      <c r="G22" s="258">
        <v>0.64906885814284454</v>
      </c>
      <c r="H22" s="258">
        <v>0.64906885814284454</v>
      </c>
      <c r="I22" s="258">
        <v>0.55304582538887714</v>
      </c>
      <c r="J22" s="257">
        <v>136.41468085953215</v>
      </c>
      <c r="K22" s="258">
        <v>2.4285813088597354</v>
      </c>
      <c r="L22" s="258">
        <v>0</v>
      </c>
      <c r="M22" s="258">
        <v>15.064491376696271</v>
      </c>
      <c r="N22" s="258">
        <v>0.17876737136570803</v>
      </c>
      <c r="O22" s="258">
        <v>0.12299999999999045</v>
      </c>
      <c r="P22" s="259">
        <v>5.3478260869561063E-3</v>
      </c>
      <c r="Q22" s="258">
        <v>0.2246165448216684</v>
      </c>
      <c r="R22" s="258">
        <v>0.12299999999999045</v>
      </c>
      <c r="S22" s="260">
        <v>5.3478260869561063E-3</v>
      </c>
      <c r="T22" s="261">
        <v>1.1935480958538704</v>
      </c>
      <c r="U22" s="262">
        <v>1.1188444963140942</v>
      </c>
      <c r="V22" s="263">
        <v>0</v>
      </c>
      <c r="W22" s="263">
        <v>0</v>
      </c>
      <c r="X22" s="264">
        <v>2</v>
      </c>
      <c r="Y22" s="265"/>
      <c r="Z22" s="266">
        <v>1</v>
      </c>
      <c r="AA22" s="262">
        <v>1.5707963267948966</v>
      </c>
      <c r="AB22" s="267">
        <v>2.1443137548246463</v>
      </c>
      <c r="AC22" s="258">
        <v>0.24907220980959388</v>
      </c>
      <c r="AD22" s="258">
        <v>0.29170000000000001</v>
      </c>
      <c r="AE22" s="259">
        <v>0.67</v>
      </c>
      <c r="AF22" s="258">
        <v>0.67</v>
      </c>
      <c r="AG22" s="258">
        <v>0.29170000000000001</v>
      </c>
      <c r="AH22" s="258">
        <v>3.2694038321982277</v>
      </c>
      <c r="AI22" s="258">
        <v>0</v>
      </c>
      <c r="AJ22" s="267">
        <v>3.2694038321982277</v>
      </c>
      <c r="AK22" s="258">
        <v>313.11399999999998</v>
      </c>
      <c r="AL22" s="268">
        <v>312.99099999999999</v>
      </c>
      <c r="AM22" s="257">
        <v>2</v>
      </c>
      <c r="AN22" s="257">
        <v>2</v>
      </c>
      <c r="AO22" s="269">
        <v>311.11399999999998</v>
      </c>
      <c r="AP22" s="269">
        <v>310.99099999999999</v>
      </c>
      <c r="AQ22" s="258">
        <v>311.78399999999999</v>
      </c>
      <c r="AR22" s="258">
        <v>311.661</v>
      </c>
      <c r="AS22" s="257">
        <v>0.89499999999998181</v>
      </c>
      <c r="AT22" s="270">
        <v>0.89499999999998181</v>
      </c>
      <c r="AU22" s="271"/>
      <c r="AV22" s="404" t="s">
        <v>371</v>
      </c>
      <c r="AW22" s="272"/>
      <c r="AX22" s="273"/>
      <c r="AY22" s="273"/>
      <c r="AZ22" s="273"/>
      <c r="BA22" s="273"/>
      <c r="BB22" s="274"/>
      <c r="BC22" s="275"/>
      <c r="BD22" s="275"/>
      <c r="BE22" s="275"/>
      <c r="BF22" s="276"/>
      <c r="BG22" s="276"/>
      <c r="BH22" s="275"/>
      <c r="BI22" s="275"/>
      <c r="BJ22" s="275"/>
      <c r="BK22" s="275"/>
      <c r="BL22" s="275"/>
      <c r="BM22" s="275"/>
      <c r="BN22" s="275"/>
      <c r="BO22" s="275"/>
      <c r="BP22" s="275"/>
      <c r="BQ22" s="275"/>
      <c r="BR22" s="275"/>
      <c r="BS22" s="275"/>
      <c r="BT22" s="275"/>
      <c r="BU22" s="275"/>
      <c r="BV22" s="275"/>
      <c r="BW22" s="275"/>
      <c r="BX22" s="275"/>
      <c r="BY22" s="54"/>
      <c r="BZ22" s="54"/>
      <c r="CA22" s="275"/>
      <c r="CB22" s="275"/>
      <c r="CC22" s="275"/>
      <c r="CD22" s="275"/>
      <c r="CE22" s="275"/>
      <c r="CF22" s="275"/>
      <c r="CG22" s="275"/>
      <c r="CH22" s="275"/>
      <c r="CI22" s="275"/>
      <c r="CJ22" s="275"/>
      <c r="CK22" s="274"/>
      <c r="CL22" s="275"/>
      <c r="CM22" s="275"/>
      <c r="CN22" s="277"/>
      <c r="CO22" s="275"/>
      <c r="CP22" s="275"/>
      <c r="CQ22" s="275"/>
      <c r="CR22" s="275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405"/>
    </row>
    <row r="23" spans="1:112" ht="16.5" customHeight="1" x14ac:dyDescent="0.2">
      <c r="A23" s="647"/>
      <c r="B23" s="255" t="s">
        <v>1272</v>
      </c>
      <c r="C23" s="256">
        <v>87</v>
      </c>
      <c r="D23" s="257">
        <v>0.66</v>
      </c>
      <c r="E23" s="257">
        <v>0.66</v>
      </c>
      <c r="F23" s="258">
        <v>0.6</v>
      </c>
      <c r="G23" s="258">
        <v>1</v>
      </c>
      <c r="H23" s="258">
        <v>1.0643106542597554</v>
      </c>
      <c r="I23" s="258">
        <v>0.46198185236311501</v>
      </c>
      <c r="J23" s="257">
        <v>184.36555448505223</v>
      </c>
      <c r="K23" s="258">
        <v>0.15627641187630195</v>
      </c>
      <c r="L23" s="258">
        <v>0</v>
      </c>
      <c r="M23" s="258">
        <v>6.4972143205952388</v>
      </c>
      <c r="N23" s="258">
        <v>0.76884049867043347</v>
      </c>
      <c r="O23" s="258">
        <v>1.3079999999999927</v>
      </c>
      <c r="P23" s="259">
        <v>1.5034482758620606E-2</v>
      </c>
      <c r="Q23" s="258">
        <v>0.15627641187630192</v>
      </c>
      <c r="R23" s="258">
        <v>0.80799999999999272</v>
      </c>
      <c r="S23" s="260">
        <v>9.2873563218389965E-3</v>
      </c>
      <c r="T23" s="261">
        <v>0.35145673073584582</v>
      </c>
      <c r="U23" s="262">
        <v>9.70138212328472E-2</v>
      </c>
      <c r="V23" s="263">
        <v>0</v>
      </c>
      <c r="W23" s="263">
        <v>0</v>
      </c>
      <c r="X23" s="264">
        <v>1</v>
      </c>
      <c r="Y23" s="265"/>
      <c r="Z23" s="266">
        <v>0.6</v>
      </c>
      <c r="AA23" s="262">
        <v>0.28274333882308139</v>
      </c>
      <c r="AB23" s="267">
        <v>1.8859568434642884</v>
      </c>
      <c r="AC23" s="258">
        <v>7.4651254478447365E-2</v>
      </c>
      <c r="AD23" s="258">
        <v>0.1847</v>
      </c>
      <c r="AE23" s="259">
        <v>0.33</v>
      </c>
      <c r="AF23" s="258">
        <v>0.19800000000000001</v>
      </c>
      <c r="AG23" s="258">
        <v>0.11082</v>
      </c>
      <c r="AH23" s="258">
        <v>0.701935995930693</v>
      </c>
      <c r="AI23" s="258">
        <v>0</v>
      </c>
      <c r="AJ23" s="267">
        <v>0.701935995930693</v>
      </c>
      <c r="AK23" s="258">
        <v>313.79899999999998</v>
      </c>
      <c r="AL23" s="268">
        <v>312.99099999999999</v>
      </c>
      <c r="AM23" s="257">
        <v>1.5</v>
      </c>
      <c r="AN23" s="257">
        <v>2</v>
      </c>
      <c r="AO23" s="269">
        <v>312.29899999999998</v>
      </c>
      <c r="AP23" s="269">
        <v>310.99099999999999</v>
      </c>
      <c r="AQ23" s="258">
        <v>312.49699999999996</v>
      </c>
      <c r="AR23" s="258">
        <v>311.18899999999996</v>
      </c>
      <c r="AS23" s="257">
        <v>0.83699999999998909</v>
      </c>
      <c r="AT23" s="270">
        <v>1.3369999999999891</v>
      </c>
      <c r="AU23" s="271"/>
      <c r="AV23" s="404" t="s">
        <v>1272</v>
      </c>
      <c r="AW23" s="272">
        <v>87</v>
      </c>
      <c r="AX23" s="273">
        <v>0</v>
      </c>
      <c r="AY23" s="273">
        <v>1</v>
      </c>
      <c r="AZ23" s="273">
        <v>0</v>
      </c>
      <c r="BA23" s="273">
        <v>600</v>
      </c>
      <c r="BB23" s="274" t="s">
        <v>213</v>
      </c>
      <c r="BC23" s="275">
        <v>1.5</v>
      </c>
      <c r="BD23" s="275">
        <v>2</v>
      </c>
      <c r="BE23" s="275">
        <v>0</v>
      </c>
      <c r="BF23" s="276">
        <v>4</v>
      </c>
      <c r="BG23" s="276" t="s">
        <v>1359</v>
      </c>
      <c r="BH23" s="275">
        <v>1.75</v>
      </c>
      <c r="BI23" s="275">
        <v>1.8759999999999999</v>
      </c>
      <c r="BJ23" s="275">
        <v>1.2</v>
      </c>
      <c r="BK23" s="275">
        <v>2.1379999999999999</v>
      </c>
      <c r="BL23" s="275" t="s">
        <v>1085</v>
      </c>
      <c r="BM23" s="275" t="s">
        <v>1085</v>
      </c>
      <c r="BN23" s="275" t="s">
        <v>1085</v>
      </c>
      <c r="BO23" s="275" t="s">
        <v>1085</v>
      </c>
      <c r="BP23" s="275" t="s">
        <v>1085</v>
      </c>
      <c r="BQ23" s="275">
        <v>272.40082799999999</v>
      </c>
      <c r="BR23" s="275" t="s">
        <v>1085</v>
      </c>
      <c r="BS23" s="275" t="s">
        <v>1085</v>
      </c>
      <c r="BT23" s="275" t="s">
        <v>1085</v>
      </c>
      <c r="BU23" s="275" t="s">
        <v>1085</v>
      </c>
      <c r="BV23" s="275" t="s">
        <v>1085</v>
      </c>
      <c r="BW23" s="275" t="s">
        <v>1085</v>
      </c>
      <c r="BX23" s="275">
        <v>36.014913446265993</v>
      </c>
      <c r="BY23" s="54">
        <v>0</v>
      </c>
      <c r="BZ23" s="54">
        <v>0.15</v>
      </c>
      <c r="CA23" s="275">
        <v>0</v>
      </c>
      <c r="CB23" s="275">
        <v>41.417150463205886</v>
      </c>
      <c r="CC23" s="275" t="s">
        <v>1085</v>
      </c>
      <c r="CD23" s="275" t="s">
        <v>1085</v>
      </c>
      <c r="CE23" s="275" t="s">
        <v>1085</v>
      </c>
      <c r="CF23" s="275">
        <v>326.42399999999998</v>
      </c>
      <c r="CG23" s="275" t="s">
        <v>1085</v>
      </c>
      <c r="CH23" s="275" t="s">
        <v>1085</v>
      </c>
      <c r="CI23" s="275">
        <v>104.39999999999999</v>
      </c>
      <c r="CJ23" s="275" t="s">
        <v>1085</v>
      </c>
      <c r="CK23" s="274" t="s">
        <v>214</v>
      </c>
      <c r="CL23" s="275" t="s">
        <v>1085</v>
      </c>
      <c r="CM23" s="275" t="s">
        <v>1085</v>
      </c>
      <c r="CN23" s="277">
        <v>0.1</v>
      </c>
      <c r="CO23" s="275">
        <v>0</v>
      </c>
      <c r="CP23" s="275" t="s">
        <v>1085</v>
      </c>
      <c r="CQ23" s="275" t="s">
        <v>1085</v>
      </c>
      <c r="CR23" s="275" t="s">
        <v>1085</v>
      </c>
      <c r="CS23" s="275" t="s">
        <v>1085</v>
      </c>
      <c r="CT23" s="275" t="s">
        <v>1085</v>
      </c>
      <c r="CU23" s="275">
        <v>236.38591455373398</v>
      </c>
      <c r="CV23" s="275" t="s">
        <v>1085</v>
      </c>
      <c r="CW23" s="275" t="s">
        <v>1085</v>
      </c>
      <c r="CX23" s="275" t="s">
        <v>1085</v>
      </c>
      <c r="CY23" s="275" t="s">
        <v>1085</v>
      </c>
      <c r="CZ23" s="275" t="s">
        <v>1085</v>
      </c>
      <c r="DA23" s="275" t="s">
        <v>1085</v>
      </c>
      <c r="DB23" s="275">
        <v>27.231000000000002</v>
      </c>
      <c r="DC23" s="275">
        <v>0</v>
      </c>
      <c r="DD23" s="275">
        <v>87</v>
      </c>
      <c r="DE23" s="275">
        <v>0</v>
      </c>
      <c r="DF23" s="275">
        <v>0</v>
      </c>
      <c r="DG23" s="275">
        <v>0</v>
      </c>
      <c r="DH23" s="405">
        <v>0</v>
      </c>
    </row>
    <row r="24" spans="1:112" ht="16.5" customHeight="1" x14ac:dyDescent="0.2">
      <c r="A24" s="647"/>
      <c r="B24" s="255" t="s">
        <v>1273</v>
      </c>
      <c r="C24" s="256">
        <v>124</v>
      </c>
      <c r="D24" s="257">
        <v>0.38</v>
      </c>
      <c r="E24" s="257">
        <v>18.879999999999995</v>
      </c>
      <c r="F24" s="258">
        <v>0.6</v>
      </c>
      <c r="G24" s="258">
        <v>0.64357579450234859</v>
      </c>
      <c r="H24" s="258">
        <v>0.64357579450234859</v>
      </c>
      <c r="I24" s="258">
        <v>0.474444189782388</v>
      </c>
      <c r="J24" s="257">
        <v>178.56196497583321</v>
      </c>
      <c r="K24" s="258">
        <v>2.8616767583402916</v>
      </c>
      <c r="L24" s="258">
        <v>0</v>
      </c>
      <c r="M24" s="258">
        <v>7.2660548192656726</v>
      </c>
      <c r="N24" s="258">
        <v>0.95301383446422838</v>
      </c>
      <c r="O24" s="258">
        <v>0.64299999999997226</v>
      </c>
      <c r="P24" s="259">
        <v>5.185483870967518E-3</v>
      </c>
      <c r="Q24" s="258">
        <v>5.7597307636086399E-2</v>
      </c>
      <c r="R24" s="258">
        <v>-0.15700000000003911</v>
      </c>
      <c r="S24" s="260">
        <v>-1.2661290322583799E-3</v>
      </c>
      <c r="T24" s="261">
        <v>1.276661157011318</v>
      </c>
      <c r="U24" s="262">
        <v>1.2800919642819397</v>
      </c>
      <c r="V24" s="263">
        <v>0</v>
      </c>
      <c r="W24" s="263">
        <v>0</v>
      </c>
      <c r="X24" s="264">
        <v>2</v>
      </c>
      <c r="Y24" s="265"/>
      <c r="Z24" s="266">
        <v>1</v>
      </c>
      <c r="AA24" s="262">
        <v>1.5707963267948966</v>
      </c>
      <c r="AB24" s="267">
        <v>2.1685589357981554</v>
      </c>
      <c r="AC24" s="258">
        <v>0.29804867523876261</v>
      </c>
      <c r="AD24" s="258">
        <v>0.30359999999999998</v>
      </c>
      <c r="AE24" s="259">
        <v>0.78</v>
      </c>
      <c r="AF24" s="258">
        <v>0.78</v>
      </c>
      <c r="AG24" s="258">
        <v>0.30359999999999998</v>
      </c>
      <c r="AH24" s="258">
        <v>3.2193972853390034</v>
      </c>
      <c r="AI24" s="258">
        <v>0</v>
      </c>
      <c r="AJ24" s="267">
        <v>3.2193972853390034</v>
      </c>
      <c r="AK24" s="258">
        <v>312.99099999999999</v>
      </c>
      <c r="AL24" s="268">
        <v>313.14800000000002</v>
      </c>
      <c r="AM24" s="257">
        <v>2</v>
      </c>
      <c r="AN24" s="257">
        <v>2.8</v>
      </c>
      <c r="AO24" s="269">
        <v>310.99099999999999</v>
      </c>
      <c r="AP24" s="269">
        <v>310.34800000000001</v>
      </c>
      <c r="AQ24" s="258">
        <v>311.77099999999996</v>
      </c>
      <c r="AR24" s="258">
        <v>311.12799999999999</v>
      </c>
      <c r="AS24" s="257">
        <v>0.89499999999998181</v>
      </c>
      <c r="AT24" s="270">
        <v>1.6949999999999932</v>
      </c>
      <c r="AU24" s="271"/>
      <c r="AV24" s="404" t="s">
        <v>1273</v>
      </c>
      <c r="AW24" s="272">
        <v>124</v>
      </c>
      <c r="AX24" s="273">
        <v>0</v>
      </c>
      <c r="AY24" s="273">
        <v>2</v>
      </c>
      <c r="AZ24" s="273">
        <v>0</v>
      </c>
      <c r="BA24" s="273">
        <v>1000</v>
      </c>
      <c r="BB24" s="274" t="s">
        <v>1358</v>
      </c>
      <c r="BC24" s="275">
        <v>2</v>
      </c>
      <c r="BD24" s="275">
        <v>2.8</v>
      </c>
      <c r="BE24" s="275">
        <v>0</v>
      </c>
      <c r="BF24" s="276">
        <v>4</v>
      </c>
      <c r="BG24" s="276" t="s">
        <v>1359</v>
      </c>
      <c r="BH24" s="275">
        <v>2.4</v>
      </c>
      <c r="BI24" s="275">
        <v>2.61</v>
      </c>
      <c r="BJ24" s="275">
        <v>2.82</v>
      </c>
      <c r="BK24" s="275">
        <v>4.125</v>
      </c>
      <c r="BL24" s="275" t="s">
        <v>1085</v>
      </c>
      <c r="BM24" s="275" t="s">
        <v>1085</v>
      </c>
      <c r="BN24" s="275" t="s">
        <v>1085</v>
      </c>
      <c r="BO24" s="275" t="s">
        <v>1085</v>
      </c>
      <c r="BP24" s="275" t="s">
        <v>1085</v>
      </c>
      <c r="BQ24" s="275">
        <v>1123.8398999999999</v>
      </c>
      <c r="BR24" s="275" t="s">
        <v>1085</v>
      </c>
      <c r="BS24" s="275" t="s">
        <v>1085</v>
      </c>
      <c r="BT24" s="275" t="s">
        <v>1085</v>
      </c>
      <c r="BU24" s="275" t="s">
        <v>1085</v>
      </c>
      <c r="BV24" s="275" t="s">
        <v>1085</v>
      </c>
      <c r="BW24" s="275" t="s">
        <v>1085</v>
      </c>
      <c r="BX24" s="275">
        <v>285.17555985549058</v>
      </c>
      <c r="BY24" s="54">
        <v>0</v>
      </c>
      <c r="BZ24" s="54">
        <v>0.15</v>
      </c>
      <c r="CA24" s="275">
        <v>0</v>
      </c>
      <c r="CB24" s="275">
        <v>327.95189383381415</v>
      </c>
      <c r="CC24" s="275" t="s">
        <v>1085</v>
      </c>
      <c r="CD24" s="275" t="s">
        <v>1085</v>
      </c>
      <c r="CE24" s="275" t="s">
        <v>1085</v>
      </c>
      <c r="CF24" s="275">
        <v>647.28</v>
      </c>
      <c r="CG24" s="275" t="s">
        <v>1085</v>
      </c>
      <c r="CH24" s="275" t="s">
        <v>1085</v>
      </c>
      <c r="CI24" s="275" t="s">
        <v>1085</v>
      </c>
      <c r="CJ24" s="275">
        <v>349.68</v>
      </c>
      <c r="CK24" s="274" t="s">
        <v>214</v>
      </c>
      <c r="CL24" s="275" t="s">
        <v>1085</v>
      </c>
      <c r="CM24" s="275" t="s">
        <v>1085</v>
      </c>
      <c r="CN24" s="277">
        <v>0.1</v>
      </c>
      <c r="CO24" s="275">
        <v>0</v>
      </c>
      <c r="CP24" s="275" t="s">
        <v>1085</v>
      </c>
      <c r="CQ24" s="275" t="s">
        <v>1085</v>
      </c>
      <c r="CR24" s="275" t="s">
        <v>1085</v>
      </c>
      <c r="CS24" s="275" t="s">
        <v>1085</v>
      </c>
      <c r="CT24" s="275" t="s">
        <v>1085</v>
      </c>
      <c r="CU24" s="275">
        <v>838.66434014450942</v>
      </c>
      <c r="CV24" s="275" t="s">
        <v>1085</v>
      </c>
      <c r="CW24" s="275" t="s">
        <v>1085</v>
      </c>
      <c r="CX24" s="275" t="s">
        <v>1085</v>
      </c>
      <c r="CY24" s="275" t="s">
        <v>1085</v>
      </c>
      <c r="CZ24" s="275" t="s">
        <v>1085</v>
      </c>
      <c r="DA24" s="275" t="s">
        <v>1085</v>
      </c>
      <c r="DB24" s="275">
        <v>164.92000000000002</v>
      </c>
      <c r="DC24" s="275">
        <v>0</v>
      </c>
      <c r="DD24" s="275">
        <v>0</v>
      </c>
      <c r="DE24" s="275">
        <v>0</v>
      </c>
      <c r="DF24" s="275">
        <v>248</v>
      </c>
      <c r="DG24" s="275">
        <v>0</v>
      </c>
      <c r="DH24" s="405">
        <v>0</v>
      </c>
    </row>
    <row r="25" spans="1:112" ht="16.5" customHeight="1" x14ac:dyDescent="0.2">
      <c r="A25" s="440"/>
      <c r="B25" s="255" t="s">
        <v>1274</v>
      </c>
      <c r="C25" s="256">
        <v>122</v>
      </c>
      <c r="D25" s="257">
        <v>0.53</v>
      </c>
      <c r="E25" s="257">
        <v>19.409999999999997</v>
      </c>
      <c r="F25" s="258">
        <v>0.6</v>
      </c>
      <c r="G25" s="258">
        <v>0.64090870405459321</v>
      </c>
      <c r="H25" s="258">
        <v>0.64090870405459321</v>
      </c>
      <c r="I25" s="258">
        <v>0.48811812748663985</v>
      </c>
      <c r="J25" s="257">
        <v>171.90338584287841</v>
      </c>
      <c r="K25" s="258">
        <v>2.901856072324962</v>
      </c>
      <c r="L25" s="258">
        <v>0</v>
      </c>
      <c r="M25" s="258">
        <v>8.2190686537299005</v>
      </c>
      <c r="N25" s="258">
        <v>0.75773851133355574</v>
      </c>
      <c r="O25" s="258">
        <v>1.0480000000000018</v>
      </c>
      <c r="P25" s="259">
        <v>8.5901639344262443E-3</v>
      </c>
      <c r="Q25" s="258">
        <v>7.9236667611140149E-2</v>
      </c>
      <c r="R25" s="258">
        <v>2.2240000000000464</v>
      </c>
      <c r="S25" s="260">
        <v>1.8229508196721693E-2</v>
      </c>
      <c r="T25" s="261">
        <v>1.1674656160528869</v>
      </c>
      <c r="U25" s="262">
        <v>1.0704788194033428</v>
      </c>
      <c r="V25" s="263">
        <v>0</v>
      </c>
      <c r="W25" s="263">
        <v>0</v>
      </c>
      <c r="X25" s="264">
        <v>2</v>
      </c>
      <c r="Y25" s="265"/>
      <c r="Z25" s="266">
        <v>1</v>
      </c>
      <c r="AA25" s="262">
        <v>1.5707963267948966</v>
      </c>
      <c r="AB25" s="267">
        <v>2.6834235068174621</v>
      </c>
      <c r="AC25" s="258">
        <v>0.23482071478397695</v>
      </c>
      <c r="AD25" s="258">
        <v>0.28620000000000001</v>
      </c>
      <c r="AE25" s="259">
        <v>0.64</v>
      </c>
      <c r="AF25" s="258">
        <v>0.64</v>
      </c>
      <c r="AG25" s="258">
        <v>0.28620000000000001</v>
      </c>
      <c r="AH25" s="258">
        <v>4.1436270127380475</v>
      </c>
      <c r="AI25" s="258">
        <v>0</v>
      </c>
      <c r="AJ25" s="267">
        <v>4.1436270127380475</v>
      </c>
      <c r="AK25" s="258">
        <v>313.14800000000002</v>
      </c>
      <c r="AL25" s="268">
        <v>310.92399999999998</v>
      </c>
      <c r="AM25" s="257">
        <v>2.8</v>
      </c>
      <c r="AN25" s="257">
        <v>1.6239999999999668</v>
      </c>
      <c r="AO25" s="269">
        <v>310.34800000000001</v>
      </c>
      <c r="AP25" s="269">
        <v>309.3</v>
      </c>
      <c r="AQ25" s="258">
        <v>310.988</v>
      </c>
      <c r="AR25" s="258">
        <v>309.94</v>
      </c>
      <c r="AS25" s="257">
        <v>1.6949999999999932</v>
      </c>
      <c r="AT25" s="270">
        <v>0.51899999999994861</v>
      </c>
      <c r="AU25" s="271"/>
      <c r="AV25" s="404" t="s">
        <v>1274</v>
      </c>
      <c r="AW25" s="272">
        <v>122</v>
      </c>
      <c r="AX25" s="273">
        <v>0</v>
      </c>
      <c r="AY25" s="273">
        <v>2</v>
      </c>
      <c r="AZ25" s="273">
        <v>0</v>
      </c>
      <c r="BA25" s="273">
        <v>1000</v>
      </c>
      <c r="BB25" s="274" t="s">
        <v>1358</v>
      </c>
      <c r="BC25" s="275">
        <v>2.8</v>
      </c>
      <c r="BD25" s="275">
        <v>1.6239999999999668</v>
      </c>
      <c r="BE25" s="275">
        <v>0</v>
      </c>
      <c r="BF25" s="276">
        <v>4</v>
      </c>
      <c r="BG25" s="276" t="s">
        <v>1359</v>
      </c>
      <c r="BH25" s="275">
        <v>2.2119999999999833</v>
      </c>
      <c r="BI25" s="275">
        <v>2.4219999999999833</v>
      </c>
      <c r="BJ25" s="275">
        <v>2.82</v>
      </c>
      <c r="BK25" s="275">
        <v>4.0309999999999917</v>
      </c>
      <c r="BL25" s="275" t="s">
        <v>1085</v>
      </c>
      <c r="BM25" s="275" t="s">
        <v>1085</v>
      </c>
      <c r="BN25" s="275" t="s">
        <v>1085</v>
      </c>
      <c r="BO25" s="275" t="s">
        <v>1085</v>
      </c>
      <c r="BP25" s="275" t="s">
        <v>1085</v>
      </c>
      <c r="BQ25" s="275">
        <v>1012.1804419999918</v>
      </c>
      <c r="BR25" s="275" t="s">
        <v>1085</v>
      </c>
      <c r="BS25" s="275" t="s">
        <v>1085</v>
      </c>
      <c r="BT25" s="275" t="s">
        <v>1085</v>
      </c>
      <c r="BU25" s="275" t="s">
        <v>1085</v>
      </c>
      <c r="BV25" s="275" t="s">
        <v>1085</v>
      </c>
      <c r="BW25" s="275" t="s">
        <v>1085</v>
      </c>
      <c r="BX25" s="275">
        <v>280.57595405136976</v>
      </c>
      <c r="BY25" s="54">
        <v>0</v>
      </c>
      <c r="BZ25" s="54">
        <v>0.15</v>
      </c>
      <c r="CA25" s="275">
        <v>0</v>
      </c>
      <c r="CB25" s="275">
        <v>322.66234715907518</v>
      </c>
      <c r="CC25" s="275" t="s">
        <v>1085</v>
      </c>
      <c r="CD25" s="275" t="s">
        <v>1085</v>
      </c>
      <c r="CE25" s="275" t="s">
        <v>1085</v>
      </c>
      <c r="CF25" s="275">
        <v>590.96799999999587</v>
      </c>
      <c r="CG25" s="275" t="s">
        <v>1085</v>
      </c>
      <c r="CH25" s="275" t="s">
        <v>1085</v>
      </c>
      <c r="CI25" s="275" t="s">
        <v>1085</v>
      </c>
      <c r="CJ25" s="275">
        <v>344.03999999999996</v>
      </c>
      <c r="CK25" s="274" t="s">
        <v>214</v>
      </c>
      <c r="CL25" s="275" t="s">
        <v>1085</v>
      </c>
      <c r="CM25" s="275" t="s">
        <v>1085</v>
      </c>
      <c r="CN25" s="277">
        <v>0.1</v>
      </c>
      <c r="CO25" s="275">
        <v>0</v>
      </c>
      <c r="CP25" s="275" t="s">
        <v>1085</v>
      </c>
      <c r="CQ25" s="275" t="s">
        <v>1085</v>
      </c>
      <c r="CR25" s="275" t="s">
        <v>1085</v>
      </c>
      <c r="CS25" s="275" t="s">
        <v>1085</v>
      </c>
      <c r="CT25" s="275" t="s">
        <v>1085</v>
      </c>
      <c r="CU25" s="275">
        <v>731.60448794862202</v>
      </c>
      <c r="CV25" s="275" t="s">
        <v>1085</v>
      </c>
      <c r="CW25" s="275" t="s">
        <v>1085</v>
      </c>
      <c r="CX25" s="275" t="s">
        <v>1085</v>
      </c>
      <c r="CY25" s="275" t="s">
        <v>1085</v>
      </c>
      <c r="CZ25" s="275" t="s">
        <v>1085</v>
      </c>
      <c r="DA25" s="275" t="s">
        <v>1085</v>
      </c>
      <c r="DB25" s="275">
        <v>162.26000000000002</v>
      </c>
      <c r="DC25" s="275">
        <v>0</v>
      </c>
      <c r="DD25" s="275">
        <v>0</v>
      </c>
      <c r="DE25" s="275">
        <v>0</v>
      </c>
      <c r="DF25" s="275">
        <v>244</v>
      </c>
      <c r="DG25" s="275">
        <v>0</v>
      </c>
      <c r="DH25" s="405">
        <v>0</v>
      </c>
    </row>
    <row r="26" spans="1:112" s="174" customFormat="1" ht="30" customHeight="1" x14ac:dyDescent="0.2">
      <c r="D26" s="400"/>
      <c r="AU26" s="278"/>
      <c r="AV26" s="404" t="s">
        <v>372</v>
      </c>
      <c r="AW26" s="272">
        <v>96</v>
      </c>
      <c r="AX26" s="273">
        <v>0</v>
      </c>
      <c r="AY26" s="273">
        <v>1</v>
      </c>
      <c r="AZ26" s="273">
        <v>0</v>
      </c>
      <c r="BA26" s="273">
        <v>400</v>
      </c>
      <c r="BB26" s="274" t="s">
        <v>213</v>
      </c>
      <c r="BC26" s="275">
        <v>1</v>
      </c>
      <c r="BD26" s="275">
        <v>1.5</v>
      </c>
      <c r="BE26" s="275">
        <v>0</v>
      </c>
      <c r="BF26" s="276">
        <v>4</v>
      </c>
      <c r="BG26" s="276" t="s">
        <v>1360</v>
      </c>
      <c r="BH26" s="275">
        <v>1.25</v>
      </c>
      <c r="BI26" s="275">
        <v>1.3340000000000001</v>
      </c>
      <c r="BJ26" s="275">
        <v>0.8</v>
      </c>
      <c r="BK26" s="275">
        <v>1.4670000000000001</v>
      </c>
      <c r="BL26" s="275" t="s">
        <v>1085</v>
      </c>
      <c r="BM26" s="275">
        <v>145.16054400000002</v>
      </c>
      <c r="BN26" s="275" t="s">
        <v>1085</v>
      </c>
      <c r="BO26" s="275" t="s">
        <v>1085</v>
      </c>
      <c r="BP26" s="275" t="s">
        <v>1085</v>
      </c>
      <c r="BQ26" s="275" t="s">
        <v>1085</v>
      </c>
      <c r="BR26" s="275" t="s">
        <v>1085</v>
      </c>
      <c r="BS26" s="275" t="s">
        <v>1085</v>
      </c>
      <c r="BT26" s="275" t="s">
        <v>1085</v>
      </c>
      <c r="BU26" s="275" t="s">
        <v>1085</v>
      </c>
      <c r="BV26" s="275" t="s">
        <v>1085</v>
      </c>
      <c r="BW26" s="275" t="s">
        <v>1085</v>
      </c>
      <c r="BX26" s="275">
        <v>17.662486287823935</v>
      </c>
      <c r="BY26" s="54">
        <v>0</v>
      </c>
      <c r="BZ26" s="54">
        <v>0.15</v>
      </c>
      <c r="CA26" s="275">
        <v>0</v>
      </c>
      <c r="CB26" s="275">
        <v>20.311859230997523</v>
      </c>
      <c r="CC26" s="275" t="s">
        <v>1085</v>
      </c>
      <c r="CD26" s="275" t="s">
        <v>1085</v>
      </c>
      <c r="CE26" s="275" t="s">
        <v>1085</v>
      </c>
      <c r="CF26" s="275" t="s">
        <v>1085</v>
      </c>
      <c r="CG26" s="275" t="s">
        <v>1085</v>
      </c>
      <c r="CH26" s="275" t="s">
        <v>1085</v>
      </c>
      <c r="CI26" s="275">
        <v>76.800000000000011</v>
      </c>
      <c r="CJ26" s="275" t="s">
        <v>1085</v>
      </c>
      <c r="CK26" s="274" t="s">
        <v>214</v>
      </c>
      <c r="CL26" s="275" t="s">
        <v>1085</v>
      </c>
      <c r="CM26" s="275" t="s">
        <v>1085</v>
      </c>
      <c r="CN26" s="277">
        <v>0.1</v>
      </c>
      <c r="CO26" s="275">
        <v>0</v>
      </c>
      <c r="CP26" s="275" t="s">
        <v>1085</v>
      </c>
      <c r="CQ26" s="275">
        <v>127.49805771217608</v>
      </c>
      <c r="CR26" s="275" t="s">
        <v>1085</v>
      </c>
      <c r="CS26" s="275" t="s">
        <v>1085</v>
      </c>
      <c r="CT26" s="275" t="s">
        <v>1085</v>
      </c>
      <c r="CU26" s="275" t="s">
        <v>1085</v>
      </c>
      <c r="CV26" s="275" t="s">
        <v>1085</v>
      </c>
      <c r="CW26" s="275" t="s">
        <v>1085</v>
      </c>
      <c r="CX26" s="275" t="s">
        <v>1085</v>
      </c>
      <c r="CY26" s="275" t="s">
        <v>1085</v>
      </c>
      <c r="CZ26" s="275" t="s">
        <v>1085</v>
      </c>
      <c r="DA26" s="275" t="s">
        <v>1085</v>
      </c>
      <c r="DB26" s="275">
        <v>9.6000000000000014</v>
      </c>
      <c r="DC26" s="275">
        <v>96</v>
      </c>
      <c r="DD26" s="275">
        <v>0</v>
      </c>
      <c r="DE26" s="275">
        <v>0</v>
      </c>
      <c r="DF26" s="275">
        <v>0</v>
      </c>
      <c r="DG26" s="275">
        <v>0</v>
      </c>
      <c r="DH26" s="405">
        <v>0</v>
      </c>
    </row>
    <row r="27" spans="1:112" s="174" customFormat="1" ht="21.75" customHeight="1" thickBot="1" x14ac:dyDescent="0.25">
      <c r="B27" s="279"/>
      <c r="C27" s="280"/>
      <c r="D27" s="400"/>
      <c r="E27" s="280"/>
      <c r="F27" s="280"/>
      <c r="G27" s="281"/>
      <c r="H27" s="280"/>
      <c r="I27" s="280"/>
      <c r="J27" s="280"/>
      <c r="K27" s="280"/>
      <c r="L27" s="280"/>
      <c r="M27" s="280"/>
      <c r="N27" s="280"/>
      <c r="O27" s="280"/>
      <c r="P27" s="282"/>
      <c r="Q27" s="280"/>
      <c r="R27" s="280"/>
      <c r="S27" s="280"/>
      <c r="T27" s="280"/>
      <c r="U27" s="280"/>
      <c r="V27" s="283"/>
      <c r="W27" s="280"/>
      <c r="X27" s="280"/>
      <c r="Y27" s="280"/>
      <c r="Z27" s="284"/>
      <c r="AA27" s="285"/>
      <c r="AB27" s="280"/>
      <c r="AC27" s="280"/>
      <c r="AD27" s="280"/>
      <c r="AE27" s="282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78"/>
      <c r="AT27" s="278"/>
      <c r="AU27" s="278"/>
      <c r="AV27" s="406" t="s">
        <v>55</v>
      </c>
      <c r="AW27" s="407">
        <v>675</v>
      </c>
      <c r="AX27" s="408" t="s">
        <v>95</v>
      </c>
      <c r="AY27" s="408" t="s">
        <v>95</v>
      </c>
      <c r="AZ27" s="408" t="s">
        <v>95</v>
      </c>
      <c r="BA27" s="408" t="s">
        <v>95</v>
      </c>
      <c r="BB27" s="408" t="s">
        <v>95</v>
      </c>
      <c r="BC27" s="408" t="s">
        <v>95</v>
      </c>
      <c r="BD27" s="408" t="s">
        <v>95</v>
      </c>
      <c r="BE27" s="408" t="s">
        <v>95</v>
      </c>
      <c r="BF27" s="408" t="s">
        <v>95</v>
      </c>
      <c r="BG27" s="408" t="s">
        <v>95</v>
      </c>
      <c r="BH27" s="408" t="s">
        <v>95</v>
      </c>
      <c r="BI27" s="408" t="s">
        <v>95</v>
      </c>
      <c r="BJ27" s="408" t="s">
        <v>95</v>
      </c>
      <c r="BK27" s="408" t="s">
        <v>95</v>
      </c>
      <c r="BL27" s="407">
        <v>0</v>
      </c>
      <c r="BM27" s="407">
        <v>145.16054400000002</v>
      </c>
      <c r="BN27" s="407">
        <v>0</v>
      </c>
      <c r="BO27" s="407">
        <v>0</v>
      </c>
      <c r="BP27" s="407">
        <v>0</v>
      </c>
      <c r="BQ27" s="407">
        <v>2408.4211699999919</v>
      </c>
      <c r="BR27" s="407">
        <v>0</v>
      </c>
      <c r="BS27" s="407">
        <v>0</v>
      </c>
      <c r="BT27" s="407">
        <v>0</v>
      </c>
      <c r="BU27" s="407">
        <v>0</v>
      </c>
      <c r="BV27" s="407">
        <v>0</v>
      </c>
      <c r="BW27" s="407">
        <v>0</v>
      </c>
      <c r="BX27" s="407">
        <v>619.42891364095033</v>
      </c>
      <c r="BY27" s="407">
        <v>0</v>
      </c>
      <c r="BZ27" s="407" t="s">
        <v>95</v>
      </c>
      <c r="CA27" s="407">
        <v>0</v>
      </c>
      <c r="CB27" s="407">
        <v>712.34325068709268</v>
      </c>
      <c r="CC27" s="407">
        <v>0</v>
      </c>
      <c r="CD27" s="407">
        <v>0</v>
      </c>
      <c r="CE27" s="407">
        <v>0</v>
      </c>
      <c r="CF27" s="407">
        <v>1564.6719999999959</v>
      </c>
      <c r="CG27" s="407">
        <v>0</v>
      </c>
      <c r="CH27" s="407">
        <v>0</v>
      </c>
      <c r="CI27" s="407">
        <v>181.2</v>
      </c>
      <c r="CJ27" s="407">
        <v>693.72</v>
      </c>
      <c r="CK27" s="407" t="s">
        <v>95</v>
      </c>
      <c r="CL27" s="407">
        <v>0</v>
      </c>
      <c r="CM27" s="407">
        <v>0</v>
      </c>
      <c r="CN27" s="407" t="s">
        <v>95</v>
      </c>
      <c r="CO27" s="407">
        <v>0</v>
      </c>
      <c r="CP27" s="407">
        <v>0</v>
      </c>
      <c r="CQ27" s="407">
        <v>127.49805771217608</v>
      </c>
      <c r="CR27" s="407">
        <v>0</v>
      </c>
      <c r="CS27" s="407">
        <v>0</v>
      </c>
      <c r="CT27" s="407">
        <v>0</v>
      </c>
      <c r="CU27" s="407">
        <v>1806.6547426468655</v>
      </c>
      <c r="CV27" s="407">
        <v>0</v>
      </c>
      <c r="CW27" s="407">
        <v>0</v>
      </c>
      <c r="CX27" s="407">
        <v>0</v>
      </c>
      <c r="CY27" s="407">
        <v>0</v>
      </c>
      <c r="CZ27" s="407">
        <v>0</v>
      </c>
      <c r="DA27" s="407">
        <v>0</v>
      </c>
      <c r="DB27" s="407">
        <v>364.01100000000008</v>
      </c>
      <c r="DC27" s="407">
        <v>96</v>
      </c>
      <c r="DD27" s="407">
        <v>87</v>
      </c>
      <c r="DE27" s="407">
        <v>0</v>
      </c>
      <c r="DF27" s="407">
        <v>492</v>
      </c>
      <c r="DG27" s="407">
        <v>0</v>
      </c>
      <c r="DH27" s="409">
        <v>0</v>
      </c>
    </row>
    <row r="28" spans="1:112" ht="16.5" customHeight="1" x14ac:dyDescent="0.2">
      <c r="H28" s="271"/>
    </row>
    <row r="29" spans="1:112" ht="16.5" customHeight="1" x14ac:dyDescent="0.2">
      <c r="AN29" s="287"/>
      <c r="AV29" s="288" t="s">
        <v>302</v>
      </c>
      <c r="AW29" s="289"/>
      <c r="AX29" s="289"/>
      <c r="AY29" s="289"/>
      <c r="AZ29" s="289"/>
      <c r="BA29" s="289"/>
      <c r="BB29" s="289"/>
      <c r="BC29" s="290"/>
      <c r="BD29" s="290"/>
      <c r="BE29" s="290"/>
      <c r="BF29" s="290"/>
      <c r="BG29" s="290"/>
      <c r="BH29" s="290"/>
      <c r="BI29" s="290"/>
      <c r="BJ29" s="290"/>
      <c r="BK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1"/>
      <c r="CC29" s="290"/>
      <c r="CD29" s="290"/>
      <c r="CE29" s="290"/>
      <c r="CF29" s="290"/>
      <c r="CG29" s="290"/>
      <c r="CH29" s="290"/>
      <c r="CI29" s="290"/>
      <c r="CJ29" s="290"/>
      <c r="CK29" s="290"/>
      <c r="CL29" s="290"/>
      <c r="CM29" s="290"/>
      <c r="CN29" s="292"/>
      <c r="CO29" s="290"/>
      <c r="CP29" s="290"/>
      <c r="CQ29" s="290"/>
      <c r="CR29" s="290"/>
      <c r="CS29" s="290"/>
      <c r="CT29" s="290"/>
      <c r="CU29" s="290"/>
      <c r="CV29" s="290"/>
      <c r="CW29" s="290"/>
      <c r="CX29" s="290"/>
      <c r="CY29" s="290"/>
      <c r="CZ29" s="290"/>
      <c r="DA29" s="290"/>
      <c r="DB29" s="290"/>
    </row>
    <row r="30" spans="1:112" s="293" customFormat="1" ht="16.5" customHeight="1" x14ac:dyDescent="0.2">
      <c r="B30" s="294"/>
      <c r="P30" s="295"/>
      <c r="T30" s="296"/>
      <c r="U30" s="296"/>
      <c r="V30" s="296"/>
      <c r="W30" s="296"/>
      <c r="X30" s="297"/>
      <c r="Y30" s="298"/>
      <c r="Z30" s="296"/>
      <c r="AA30" s="296"/>
      <c r="AB30" s="299"/>
      <c r="AE30" s="295"/>
      <c r="AL30" s="296"/>
      <c r="AN30" s="287"/>
      <c r="AO30" s="296"/>
      <c r="AP30" s="296"/>
      <c r="AV30" s="288" t="s">
        <v>303</v>
      </c>
      <c r="AW30" s="289"/>
      <c r="AX30" s="289"/>
      <c r="AY30" s="289"/>
      <c r="AZ30" s="289"/>
      <c r="BA30" s="289"/>
      <c r="BB30" s="289"/>
      <c r="BC30" s="290"/>
      <c r="BD30" s="290"/>
      <c r="BE30" s="290"/>
      <c r="BF30" s="290"/>
      <c r="BG30" s="290"/>
      <c r="BH30" s="290"/>
      <c r="BI30" s="290"/>
      <c r="BJ30" s="290"/>
      <c r="BK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  <c r="CD30" s="290"/>
      <c r="CE30" s="290"/>
      <c r="CF30" s="290"/>
      <c r="CG30" s="290"/>
      <c r="CH30" s="290"/>
      <c r="CI30" s="290"/>
      <c r="CJ30" s="290"/>
      <c r="CK30" s="290"/>
      <c r="CL30" s="290"/>
      <c r="CM30" s="290"/>
      <c r="CN30" s="292"/>
      <c r="CO30" s="290"/>
      <c r="CP30" s="290"/>
      <c r="CQ30" s="290"/>
      <c r="CR30" s="290"/>
      <c r="CS30" s="290"/>
      <c r="CT30" s="290"/>
      <c r="CU30" s="290"/>
      <c r="CV30" s="290"/>
      <c r="CW30" s="290"/>
      <c r="CX30" s="290"/>
      <c r="CY30" s="290"/>
      <c r="CZ30" s="290"/>
      <c r="DA30" s="290"/>
      <c r="DB30" s="290"/>
    </row>
    <row r="31" spans="1:112" s="293" customFormat="1" ht="16.5" customHeight="1" x14ac:dyDescent="0.2">
      <c r="B31" s="294"/>
      <c r="P31" s="295"/>
      <c r="T31" s="296"/>
      <c r="U31" s="296"/>
      <c r="V31" s="296"/>
      <c r="W31" s="296"/>
      <c r="X31" s="297"/>
      <c r="Y31" s="298"/>
      <c r="Z31" s="296"/>
      <c r="AA31" s="296"/>
      <c r="AB31" s="299"/>
      <c r="AE31" s="295"/>
      <c r="AL31" s="296"/>
      <c r="AN31" s="287"/>
      <c r="AO31" s="296"/>
      <c r="AP31" s="296"/>
      <c r="AW31" s="289"/>
      <c r="AX31" s="289"/>
      <c r="AY31" s="289"/>
      <c r="AZ31" s="289"/>
      <c r="BA31" s="289"/>
      <c r="BB31" s="289"/>
      <c r="BC31" s="290"/>
      <c r="BD31" s="290"/>
      <c r="BE31" s="290"/>
      <c r="BF31" s="290"/>
      <c r="BG31" s="290"/>
      <c r="BH31" s="290"/>
      <c r="BI31" s="290"/>
      <c r="BJ31" s="290"/>
      <c r="BK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290"/>
      <c r="CE31" s="290"/>
      <c r="CF31" s="290"/>
      <c r="CG31" s="290"/>
      <c r="CH31" s="290"/>
      <c r="CI31" s="290"/>
      <c r="CJ31" s="290"/>
      <c r="CK31" s="290"/>
      <c r="CL31" s="290"/>
      <c r="CM31" s="290"/>
      <c r="CN31" s="292"/>
      <c r="CO31" s="290"/>
      <c r="CP31" s="290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</row>
    <row r="32" spans="1:112" ht="16.5" customHeight="1" x14ac:dyDescent="0.2">
      <c r="AN32" s="287"/>
      <c r="AV32" s="288"/>
      <c r="AW32" s="289"/>
      <c r="AX32" s="289"/>
      <c r="AY32" s="289"/>
      <c r="AZ32" s="289"/>
      <c r="BA32" s="289"/>
      <c r="BB32" s="289"/>
      <c r="BC32" s="290"/>
      <c r="BD32" s="290"/>
      <c r="BE32" s="290"/>
      <c r="BF32" s="290"/>
      <c r="BG32" s="290"/>
      <c r="BH32" s="290"/>
      <c r="BI32" s="290"/>
      <c r="BJ32" s="290"/>
      <c r="BK32" s="290"/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  <c r="CD32" s="290"/>
      <c r="CE32" s="290"/>
      <c r="CF32" s="290"/>
      <c r="CG32" s="290"/>
      <c r="CH32" s="290"/>
      <c r="CI32" s="290"/>
      <c r="CJ32" s="290"/>
      <c r="CK32" s="290"/>
      <c r="CL32" s="290"/>
      <c r="CM32" s="290"/>
      <c r="CN32" s="292"/>
      <c r="CO32" s="290"/>
      <c r="CP32" s="290"/>
      <c r="CQ32" s="290"/>
      <c r="CR32" s="290"/>
      <c r="CS32" s="290"/>
      <c r="CT32" s="290"/>
      <c r="CU32" s="290"/>
      <c r="CV32" s="290"/>
      <c r="CW32" s="290"/>
      <c r="CX32" s="290"/>
      <c r="CY32" s="290"/>
      <c r="CZ32" s="290"/>
      <c r="DA32" s="290"/>
      <c r="DB32" s="290"/>
    </row>
    <row r="33" spans="48:106" ht="16.5" customHeight="1" x14ac:dyDescent="0.2">
      <c r="AV33" s="289"/>
      <c r="AW33" s="289"/>
      <c r="AX33" s="289"/>
      <c r="AY33" s="289"/>
      <c r="AZ33" s="289"/>
      <c r="BA33" s="289"/>
      <c r="BB33" s="289"/>
      <c r="BC33" s="290"/>
      <c r="BD33" s="290"/>
      <c r="BE33" s="290"/>
      <c r="BF33" s="290"/>
      <c r="BG33" s="290"/>
      <c r="BH33" s="300" t="s">
        <v>373</v>
      </c>
      <c r="BJ33" s="300"/>
      <c r="BK33" s="30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  <c r="CD33" s="290"/>
      <c r="CE33" s="290"/>
      <c r="CF33" s="301"/>
      <c r="CG33" s="290"/>
      <c r="CH33" s="290"/>
      <c r="CI33" s="290"/>
      <c r="CJ33" s="290"/>
      <c r="CK33" s="290"/>
      <c r="CL33" s="290"/>
      <c r="CM33" s="290"/>
      <c r="CN33" s="292"/>
      <c r="CO33" s="290"/>
      <c r="CP33" s="290"/>
      <c r="CQ33" s="290"/>
      <c r="CR33" s="290"/>
      <c r="CS33" s="290"/>
      <c r="CT33" s="290"/>
      <c r="CU33" s="290"/>
      <c r="CV33" s="290"/>
      <c r="CW33" s="290"/>
      <c r="CX33" s="290"/>
      <c r="CY33" s="290"/>
      <c r="CZ33" s="290"/>
      <c r="DA33" s="290"/>
      <c r="DB33" s="290"/>
    </row>
    <row r="34" spans="48:106" ht="16.5" customHeight="1" x14ac:dyDescent="0.2">
      <c r="AV34" s="632" t="s">
        <v>218</v>
      </c>
      <c r="AW34" s="632"/>
      <c r="AX34" s="302">
        <v>400</v>
      </c>
      <c r="AY34" s="302">
        <v>500</v>
      </c>
      <c r="AZ34" s="302">
        <v>500</v>
      </c>
      <c r="BA34" s="302">
        <v>600</v>
      </c>
      <c r="BB34" s="302">
        <v>700</v>
      </c>
      <c r="BC34" s="302">
        <v>800</v>
      </c>
      <c r="BD34" s="302">
        <v>900</v>
      </c>
      <c r="BE34" s="302">
        <v>1000</v>
      </c>
      <c r="BF34" s="302">
        <v>1200</v>
      </c>
      <c r="BG34" s="302">
        <v>1500</v>
      </c>
      <c r="BH34" s="302">
        <v>2000</v>
      </c>
      <c r="BJ34" s="303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290"/>
      <c r="CE34" s="290"/>
      <c r="CF34" s="290"/>
      <c r="CG34" s="290"/>
      <c r="CH34" s="290"/>
      <c r="CI34" s="290"/>
      <c r="CJ34" s="290"/>
      <c r="CK34" s="290"/>
      <c r="CL34" s="290"/>
      <c r="CM34" s="290"/>
      <c r="CN34" s="292"/>
      <c r="CO34" s="290"/>
      <c r="CP34" s="290"/>
      <c r="CQ34" s="290"/>
      <c r="CR34" s="290"/>
      <c r="CS34" s="290"/>
      <c r="CT34" s="290"/>
      <c r="CU34" s="290"/>
      <c r="CV34" s="290"/>
      <c r="CW34" s="290"/>
      <c r="CX34" s="290"/>
      <c r="CY34" s="290"/>
      <c r="CZ34" s="290"/>
      <c r="DA34" s="290"/>
      <c r="DB34" s="290"/>
    </row>
    <row r="35" spans="48:106" ht="16.5" customHeight="1" x14ac:dyDescent="0.2">
      <c r="AV35" s="632" t="s">
        <v>219</v>
      </c>
      <c r="AW35" s="632"/>
      <c r="AX35" s="304">
        <v>0.1</v>
      </c>
      <c r="AY35" s="304">
        <v>0.2495</v>
      </c>
      <c r="AZ35" s="304">
        <v>0.2495</v>
      </c>
      <c r="BA35" s="304">
        <v>0.313</v>
      </c>
      <c r="BB35" s="304">
        <v>0.48799999999999999</v>
      </c>
      <c r="BC35" s="304">
        <v>0.43</v>
      </c>
      <c r="BD35" s="304">
        <v>0.75849999999999995</v>
      </c>
      <c r="BE35" s="304">
        <v>0.66500000000000004</v>
      </c>
      <c r="BF35" s="304">
        <v>0.90800000000000003</v>
      </c>
      <c r="BG35" s="304">
        <v>1.1399999999999999</v>
      </c>
      <c r="BH35" s="304">
        <v>3.4</v>
      </c>
      <c r="BJ35" s="305"/>
      <c r="BP35" s="15"/>
      <c r="BQ35" s="15"/>
      <c r="BR35" s="15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292"/>
      <c r="CO35" s="290"/>
      <c r="CP35" s="290"/>
      <c r="CQ35" s="290"/>
      <c r="CR35" s="290"/>
      <c r="CS35" s="290"/>
      <c r="CT35" s="290"/>
      <c r="CU35" s="290"/>
      <c r="CV35" s="290"/>
      <c r="CW35" s="290"/>
      <c r="CX35" s="290"/>
      <c r="CY35" s="290"/>
      <c r="CZ35" s="290"/>
      <c r="DA35" s="290"/>
      <c r="DB35" s="290"/>
    </row>
    <row r="36" spans="48:106" ht="16.5" customHeight="1" x14ac:dyDescent="0.2">
      <c r="BI36" s="290"/>
      <c r="BJ36" s="290"/>
      <c r="BK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290"/>
      <c r="CE36" s="290"/>
      <c r="CF36" s="290"/>
      <c r="CG36" s="290"/>
      <c r="CH36" s="290"/>
      <c r="CI36" s="290"/>
      <c r="CJ36" s="290"/>
      <c r="CK36" s="290"/>
      <c r="CL36" s="290"/>
      <c r="CM36" s="290"/>
      <c r="CN36" s="292"/>
      <c r="CO36" s="290"/>
      <c r="CP36" s="290"/>
      <c r="CQ36" s="290"/>
      <c r="CR36" s="290"/>
      <c r="CS36" s="290"/>
      <c r="CT36" s="290"/>
      <c r="CU36" s="290"/>
      <c r="CV36" s="290"/>
      <c r="CW36" s="290"/>
      <c r="CX36" s="290"/>
      <c r="CY36" s="290"/>
      <c r="CZ36" s="290"/>
      <c r="DA36" s="290"/>
      <c r="DB36" s="290"/>
    </row>
    <row r="37" spans="48:106" ht="16.5" hidden="1" customHeight="1" x14ac:dyDescent="0.2">
      <c r="AV37" s="633" t="s">
        <v>220</v>
      </c>
      <c r="AW37" s="634"/>
      <c r="AX37" s="634"/>
      <c r="AY37" s="634"/>
      <c r="AZ37" s="634"/>
      <c r="BA37" s="634"/>
      <c r="BB37" s="634"/>
      <c r="BC37" s="634"/>
      <c r="BD37" s="634"/>
      <c r="BE37" s="634"/>
      <c r="BF37" s="634"/>
      <c r="BG37" s="634"/>
      <c r="BH37" s="634"/>
      <c r="BI37" s="635"/>
      <c r="BJ37" s="306"/>
      <c r="BK37" s="306"/>
    </row>
    <row r="38" spans="48:106" ht="16.5" hidden="1" customHeight="1" x14ac:dyDescent="0.2">
      <c r="AV38" s="636" t="s">
        <v>221</v>
      </c>
      <c r="AW38" s="637"/>
      <c r="AX38" s="307" t="s">
        <v>222</v>
      </c>
      <c r="AY38" s="307" t="s">
        <v>222</v>
      </c>
      <c r="AZ38" s="307" t="s">
        <v>223</v>
      </c>
      <c r="BA38" s="307" t="s">
        <v>223</v>
      </c>
      <c r="BB38" s="307" t="s">
        <v>224</v>
      </c>
      <c r="BC38" s="307" t="s">
        <v>225</v>
      </c>
      <c r="BD38" s="307" t="s">
        <v>226</v>
      </c>
      <c r="BE38" s="307" t="s">
        <v>227</v>
      </c>
      <c r="BF38" s="307" t="s">
        <v>228</v>
      </c>
      <c r="BG38" s="307" t="s">
        <v>229</v>
      </c>
      <c r="BH38" s="307" t="s">
        <v>230</v>
      </c>
      <c r="BI38" s="307" t="s">
        <v>231</v>
      </c>
      <c r="BK38" s="305"/>
    </row>
    <row r="39" spans="48:106" ht="16.5" hidden="1" customHeight="1" x14ac:dyDescent="0.2">
      <c r="AV39" s="638"/>
      <c r="AW39" s="639"/>
      <c r="AX39" s="308">
        <v>1</v>
      </c>
      <c r="AY39" s="308">
        <v>1</v>
      </c>
      <c r="AZ39" s="308">
        <v>0</v>
      </c>
      <c r="BA39" s="308">
        <v>0</v>
      </c>
      <c r="BB39" s="309">
        <v>0.5</v>
      </c>
      <c r="BC39" s="309">
        <v>1</v>
      </c>
      <c r="BD39" s="310">
        <v>0</v>
      </c>
      <c r="BE39" s="310">
        <v>0</v>
      </c>
      <c r="BF39" s="310">
        <v>0</v>
      </c>
      <c r="BG39" s="55">
        <v>0</v>
      </c>
      <c r="BH39" s="55">
        <v>0</v>
      </c>
      <c r="BI39" s="55">
        <v>0</v>
      </c>
    </row>
    <row r="40" spans="48:106" ht="16.5" customHeight="1" x14ac:dyDescent="0.2">
      <c r="AV40" s="311"/>
      <c r="AW40" s="312"/>
      <c r="AX40" s="313"/>
      <c r="AY40" s="313"/>
      <c r="AZ40" s="313"/>
      <c r="BA40" s="313"/>
      <c r="BB40" s="313"/>
      <c r="BC40" s="313"/>
      <c r="BD40" s="313"/>
      <c r="BE40" s="313"/>
      <c r="BF40" s="56"/>
      <c r="BG40" s="314"/>
      <c r="BH40" s="315"/>
      <c r="BI40" s="56"/>
      <c r="BJ40" s="314"/>
      <c r="BK40" s="316"/>
    </row>
    <row r="41" spans="48:106" ht="16.5" customHeight="1" x14ac:dyDescent="0.2">
      <c r="AV41" s="311"/>
      <c r="AW41" s="312"/>
      <c r="AX41" s="313"/>
      <c r="AY41" s="313"/>
      <c r="AZ41" s="313"/>
      <c r="BA41" s="313"/>
      <c r="BB41" s="313"/>
      <c r="BC41" s="313"/>
      <c r="BD41" s="313"/>
      <c r="BE41" s="313"/>
      <c r="BF41" s="317"/>
      <c r="BG41" s="318"/>
      <c r="BH41" s="168"/>
      <c r="BI41" s="319"/>
      <c r="BJ41" s="318"/>
      <c r="BK41" s="316"/>
      <c r="CM41" s="320" t="s">
        <v>287</v>
      </c>
      <c r="CN41" s="318">
        <v>0</v>
      </c>
      <c r="CO41" s="15" t="s">
        <v>21</v>
      </c>
    </row>
    <row r="42" spans="48:106" ht="16.5" customHeight="1" x14ac:dyDescent="0.2">
      <c r="AV42" s="57" t="s">
        <v>374</v>
      </c>
      <c r="AX42" s="321">
        <v>10920.33</v>
      </c>
      <c r="AY42" s="15" t="s">
        <v>82</v>
      </c>
      <c r="BA42" s="15"/>
      <c r="BD42" s="640" t="s">
        <v>375</v>
      </c>
      <c r="BE42" s="640"/>
      <c r="BF42" s="640"/>
      <c r="BG42" s="322" t="s">
        <v>304</v>
      </c>
      <c r="BH42" s="323" t="s">
        <v>100</v>
      </c>
      <c r="BI42" s="137" t="s">
        <v>101</v>
      </c>
      <c r="CM42" s="320" t="s">
        <v>376</v>
      </c>
      <c r="CN42" s="318">
        <v>0</v>
      </c>
      <c r="CO42" s="15" t="s">
        <v>21</v>
      </c>
    </row>
    <row r="43" spans="48:106" ht="16.5" customHeight="1" x14ac:dyDescent="0.2">
      <c r="AV43" s="57" t="s">
        <v>377</v>
      </c>
      <c r="AX43" s="324">
        <v>2038.46</v>
      </c>
      <c r="AY43" s="15" t="s">
        <v>82</v>
      </c>
      <c r="BA43" s="15"/>
      <c r="BD43" s="630" t="s">
        <v>378</v>
      </c>
      <c r="BE43" s="630"/>
      <c r="BF43" s="630"/>
      <c r="BG43" s="325">
        <v>0</v>
      </c>
      <c r="BH43" s="326">
        <v>0.42599999999999999</v>
      </c>
      <c r="BI43" s="327">
        <v>0</v>
      </c>
    </row>
    <row r="44" spans="48:106" ht="16.5" customHeight="1" x14ac:dyDescent="0.2">
      <c r="AV44" s="328" t="s">
        <v>23</v>
      </c>
      <c r="AX44" s="329">
        <v>8690.58</v>
      </c>
      <c r="AY44" s="15" t="s">
        <v>21</v>
      </c>
      <c r="BA44" s="15"/>
      <c r="BD44" s="630" t="s">
        <v>522</v>
      </c>
      <c r="BE44" s="630"/>
      <c r="BF44" s="630"/>
      <c r="BG44" s="325">
        <v>7</v>
      </c>
      <c r="BH44" s="326">
        <v>0.28999999999999998</v>
      </c>
      <c r="BI44" s="327">
        <v>2.0299999999999998</v>
      </c>
    </row>
    <row r="45" spans="48:106" ht="16.5" customHeight="1" x14ac:dyDescent="0.2">
      <c r="AV45" s="328" t="s">
        <v>287</v>
      </c>
      <c r="AX45" s="324">
        <v>230.01</v>
      </c>
      <c r="AY45" s="15" t="s">
        <v>21</v>
      </c>
      <c r="BA45" s="15"/>
      <c r="BD45" s="630" t="s">
        <v>380</v>
      </c>
      <c r="BE45" s="630"/>
      <c r="BF45" s="630"/>
      <c r="BG45" s="325">
        <v>0</v>
      </c>
      <c r="BH45" s="326">
        <v>1.0609999999999999</v>
      </c>
      <c r="BI45" s="327">
        <v>0</v>
      </c>
      <c r="BL45" s="330"/>
      <c r="BM45" s="330"/>
      <c r="BN45" s="330"/>
      <c r="BO45" s="330"/>
      <c r="BP45" s="330"/>
      <c r="BQ45" s="330"/>
      <c r="BR45" s="330"/>
      <c r="BS45" s="330"/>
      <c r="BT45" s="330"/>
      <c r="BU45" s="330"/>
      <c r="BV45" s="330"/>
      <c r="BW45" s="330"/>
      <c r="BX45" s="330"/>
      <c r="BY45" s="330"/>
      <c r="BZ45" s="330"/>
      <c r="CA45" s="330"/>
      <c r="CB45" s="330"/>
      <c r="CC45" s="330"/>
      <c r="CD45" s="330"/>
      <c r="CE45" s="330"/>
      <c r="CF45" s="330"/>
      <c r="CG45" s="330"/>
      <c r="CH45" s="330"/>
      <c r="CI45" s="330"/>
      <c r="CJ45" s="330"/>
      <c r="CK45" s="330"/>
      <c r="CL45" s="330"/>
      <c r="CM45" s="330"/>
      <c r="CN45" s="331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</row>
    <row r="46" spans="48:106" ht="16.5" customHeight="1" x14ac:dyDescent="0.2">
      <c r="AV46" s="328" t="s">
        <v>376</v>
      </c>
      <c r="AX46" s="324">
        <v>0</v>
      </c>
      <c r="AY46" s="15" t="s">
        <v>21</v>
      </c>
      <c r="BA46" s="15"/>
      <c r="BD46" s="630" t="s">
        <v>381</v>
      </c>
      <c r="BE46" s="630"/>
      <c r="BF46" s="630"/>
      <c r="BG46" s="332">
        <v>1</v>
      </c>
      <c r="BH46" s="333">
        <v>2.5</v>
      </c>
      <c r="BI46" s="327">
        <v>2.5</v>
      </c>
    </row>
    <row r="47" spans="48:106" ht="16.5" customHeight="1" x14ac:dyDescent="0.2">
      <c r="AV47" s="57" t="s">
        <v>232</v>
      </c>
      <c r="AX47" s="324">
        <v>35.6</v>
      </c>
      <c r="AY47" s="15" t="s">
        <v>81</v>
      </c>
      <c r="BA47" s="15"/>
      <c r="BD47" s="630" t="s">
        <v>521</v>
      </c>
      <c r="BE47" s="630"/>
      <c r="BF47" s="630"/>
      <c r="BG47" s="332">
        <v>1</v>
      </c>
      <c r="BH47" s="333">
        <v>4.0199999999999996</v>
      </c>
      <c r="BI47" s="327">
        <v>4.0199999999999996</v>
      </c>
    </row>
    <row r="48" spans="48:106" ht="16.5" customHeight="1" x14ac:dyDescent="0.2">
      <c r="AV48" s="57" t="s">
        <v>233</v>
      </c>
      <c r="AX48" s="324">
        <v>12.2</v>
      </c>
      <c r="AY48" s="15" t="s">
        <v>81</v>
      </c>
      <c r="BA48" s="15"/>
      <c r="BD48" s="630" t="s">
        <v>523</v>
      </c>
      <c r="BE48" s="630"/>
      <c r="BF48" s="630"/>
      <c r="BG48" s="332">
        <v>1</v>
      </c>
      <c r="BH48" s="333">
        <v>5.48</v>
      </c>
      <c r="BI48" s="327">
        <v>5.48</v>
      </c>
    </row>
    <row r="49" spans="48:61" ht="16.5" customHeight="1" x14ac:dyDescent="0.2">
      <c r="AV49" s="57" t="s">
        <v>234</v>
      </c>
      <c r="AX49" s="334">
        <v>12.2</v>
      </c>
      <c r="AY49" s="15" t="s">
        <v>81</v>
      </c>
      <c r="BA49" s="15"/>
      <c r="BD49" s="776" t="s">
        <v>451</v>
      </c>
      <c r="BE49" s="777"/>
      <c r="BF49" s="778"/>
      <c r="BG49" s="332">
        <v>1</v>
      </c>
      <c r="BH49" s="333">
        <v>0</v>
      </c>
      <c r="BI49" s="327">
        <v>0</v>
      </c>
    </row>
    <row r="50" spans="48:61" ht="16.5" customHeight="1" x14ac:dyDescent="0.2">
      <c r="BA50" s="15"/>
      <c r="BD50" s="776" t="s">
        <v>452</v>
      </c>
      <c r="BE50" s="777"/>
      <c r="BF50" s="778"/>
      <c r="BG50" s="325">
        <v>8</v>
      </c>
      <c r="BH50" s="333">
        <v>0.06</v>
      </c>
      <c r="BI50" s="327">
        <v>0.48</v>
      </c>
    </row>
    <row r="51" spans="48:61" ht="16.5" customHeight="1" x14ac:dyDescent="0.2">
      <c r="BD51" s="776" t="s">
        <v>524</v>
      </c>
      <c r="BE51" s="777"/>
      <c r="BF51" s="778"/>
      <c r="BG51" s="325">
        <v>9.3000000000000007</v>
      </c>
      <c r="BH51" s="333">
        <v>0.08</v>
      </c>
      <c r="BI51" s="327">
        <v>0.74399999999999999</v>
      </c>
    </row>
    <row r="52" spans="48:61" ht="16.5" customHeight="1" x14ac:dyDescent="0.2">
      <c r="BD52" s="776" t="s">
        <v>525</v>
      </c>
      <c r="BE52" s="777"/>
      <c r="BF52" s="778"/>
      <c r="BG52" s="335">
        <v>8</v>
      </c>
      <c r="BH52" s="470">
        <v>0.45</v>
      </c>
      <c r="BI52" s="327">
        <v>3.6</v>
      </c>
    </row>
    <row r="53" spans="48:61" ht="16.5" customHeight="1" x14ac:dyDescent="0.2">
      <c r="BH53" s="471"/>
      <c r="BI53" s="471"/>
    </row>
    <row r="54" spans="48:61" ht="16.5" customHeight="1" x14ac:dyDescent="0.2">
      <c r="BH54" s="443" t="s">
        <v>102</v>
      </c>
      <c r="BI54" s="444">
        <v>18.853999999999999</v>
      </c>
    </row>
    <row r="55" spans="48:61" ht="16.5" customHeight="1" x14ac:dyDescent="0.2">
      <c r="BD55" s="627"/>
      <c r="BE55" s="627"/>
      <c r="BF55" s="627"/>
      <c r="BG55" s="313"/>
      <c r="BH55" s="336"/>
      <c r="BI55" s="337"/>
    </row>
    <row r="56" spans="48:61" ht="16.5" customHeight="1" x14ac:dyDescent="0.2">
      <c r="BD56" s="627"/>
      <c r="BE56" s="627"/>
      <c r="BF56" s="627"/>
      <c r="BG56" s="313"/>
      <c r="BH56" s="336"/>
      <c r="BI56" s="337"/>
    </row>
    <row r="86" spans="1:4" s="168" customFormat="1" ht="16.5" customHeight="1" x14ac:dyDescent="0.2">
      <c r="A86" s="58" t="s">
        <v>235</v>
      </c>
      <c r="B86" s="59"/>
      <c r="C86" s="59"/>
      <c r="D86" s="59"/>
    </row>
    <row r="87" spans="1:4" s="168" customFormat="1" ht="16.5" customHeight="1" x14ac:dyDescent="0.2">
      <c r="A87" s="164"/>
      <c r="B87" s="164"/>
      <c r="C87" s="164"/>
      <c r="D87" s="164"/>
    </row>
    <row r="88" spans="1:4" s="168" customFormat="1" ht="16.5" customHeight="1" x14ac:dyDescent="0.2">
      <c r="A88" s="163" t="s">
        <v>236</v>
      </c>
      <c r="B88" s="163" t="s">
        <v>237</v>
      </c>
      <c r="C88" s="163" t="s">
        <v>238</v>
      </c>
      <c r="D88" s="163" t="s">
        <v>239</v>
      </c>
    </row>
    <row r="89" spans="1:4" s="168" customFormat="1" ht="16.5" customHeight="1" x14ac:dyDescent="0.2">
      <c r="A89" s="32">
        <v>1</v>
      </c>
      <c r="B89" s="60" t="s">
        <v>240</v>
      </c>
      <c r="C89" s="32">
        <v>0.8</v>
      </c>
      <c r="D89" s="32">
        <v>5.8000000000000003E-2</v>
      </c>
    </row>
    <row r="90" spans="1:4" s="168" customFormat="1" ht="16.5" customHeight="1" x14ac:dyDescent="0.2">
      <c r="A90" s="32">
        <v>2</v>
      </c>
      <c r="B90" s="60" t="s">
        <v>241</v>
      </c>
      <c r="C90" s="32">
        <v>0.6</v>
      </c>
      <c r="D90" s="32">
        <v>4.2999999999999997E-2</v>
      </c>
    </row>
    <row r="91" spans="1:4" s="168" customFormat="1" ht="16.5" customHeight="1" x14ac:dyDescent="0.2">
      <c r="A91" s="32">
        <v>3</v>
      </c>
      <c r="B91" s="32" t="s">
        <v>242</v>
      </c>
      <c r="C91" s="32">
        <v>0.4</v>
      </c>
      <c r="D91" s="32">
        <v>2.9000000000000001E-2</v>
      </c>
    </row>
    <row r="92" spans="1:4" s="168" customFormat="1" ht="16.5" customHeight="1" x14ac:dyDescent="0.2">
      <c r="A92" s="32">
        <v>4</v>
      </c>
      <c r="B92" s="32" t="s">
        <v>243</v>
      </c>
      <c r="C92" s="32">
        <v>0.25</v>
      </c>
      <c r="D92" s="32">
        <v>1.7999999999999999E-2</v>
      </c>
    </row>
    <row r="93" spans="1:4" s="168" customFormat="1" ht="16.5" customHeight="1" x14ac:dyDescent="0.2">
      <c r="A93" s="164"/>
      <c r="B93" s="164"/>
      <c r="C93" s="164"/>
      <c r="D93" s="164"/>
    </row>
    <row r="94" spans="1:4" s="168" customFormat="1" ht="16.5" customHeight="1" x14ac:dyDescent="0.2">
      <c r="A94" s="164"/>
      <c r="B94" s="164"/>
      <c r="C94" s="164"/>
      <c r="D94" s="164"/>
    </row>
    <row r="95" spans="1:4" s="168" customFormat="1" ht="16.5" customHeight="1" x14ac:dyDescent="0.2">
      <c r="A95" s="58" t="s">
        <v>244</v>
      </c>
      <c r="B95" s="59"/>
      <c r="C95" s="59"/>
      <c r="D95" s="59"/>
    </row>
    <row r="97" spans="1:17" s="168" customFormat="1" ht="16.5" customHeight="1" x14ac:dyDescent="0.2">
      <c r="A97" s="628" t="s">
        <v>245</v>
      </c>
      <c r="B97" s="628" t="s">
        <v>246</v>
      </c>
      <c r="C97" s="628"/>
      <c r="D97" s="61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7"/>
      <c r="Q97" s="164"/>
    </row>
    <row r="98" spans="1:17" s="168" customFormat="1" ht="16.5" customHeight="1" x14ac:dyDescent="0.2">
      <c r="A98" s="628"/>
      <c r="B98" s="32" t="s">
        <v>247</v>
      </c>
      <c r="C98" s="32" t="s">
        <v>248</v>
      </c>
      <c r="D98" s="59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7"/>
      <c r="Q98" s="164"/>
    </row>
    <row r="99" spans="1:17" s="168" customFormat="1" ht="16.5" customHeight="1" x14ac:dyDescent="0.2">
      <c r="A99" s="62" t="s">
        <v>249</v>
      </c>
      <c r="B99" s="32" t="s">
        <v>250</v>
      </c>
      <c r="C99" s="32" t="s">
        <v>251</v>
      </c>
      <c r="D99" s="59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7"/>
      <c r="Q99" s="164"/>
    </row>
    <row r="100" spans="1:17" s="168" customFormat="1" ht="16.5" customHeight="1" x14ac:dyDescent="0.2">
      <c r="A100" s="63" t="s">
        <v>252</v>
      </c>
      <c r="B100" s="32" t="s">
        <v>253</v>
      </c>
      <c r="C100" s="32" t="s">
        <v>250</v>
      </c>
      <c r="D100" s="59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7"/>
      <c r="Q100" s="164"/>
    </row>
    <row r="101" spans="1:17" s="168" customFormat="1" ht="16.5" customHeight="1" x14ac:dyDescent="0.2">
      <c r="A101" s="63" t="s">
        <v>254</v>
      </c>
      <c r="B101" s="32" t="s">
        <v>255</v>
      </c>
      <c r="C101" s="32" t="s">
        <v>253</v>
      </c>
      <c r="D101" s="338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7"/>
      <c r="Q101" s="164"/>
    </row>
    <row r="102" spans="1:17" s="168" customFormat="1" ht="16.5" customHeight="1" x14ac:dyDescent="0.2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7"/>
      <c r="Q102" s="164"/>
    </row>
    <row r="103" spans="1:17" s="168" customFormat="1" ht="16.5" customHeight="1" x14ac:dyDescent="0.2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7"/>
      <c r="Q103" s="164"/>
    </row>
    <row r="104" spans="1:17" s="168" customFormat="1" ht="16.5" customHeight="1" x14ac:dyDescent="0.2">
      <c r="A104" s="629" t="s">
        <v>256</v>
      </c>
      <c r="B104" s="629"/>
      <c r="C104" s="629"/>
      <c r="D104" s="339"/>
      <c r="E104" s="339"/>
      <c r="F104" s="339"/>
      <c r="G104" s="339"/>
      <c r="H104" s="339"/>
      <c r="I104" s="339"/>
      <c r="J104" s="164"/>
      <c r="K104" s="164"/>
      <c r="L104" s="164"/>
      <c r="M104" s="164"/>
      <c r="N104" s="340" t="s">
        <v>382</v>
      </c>
      <c r="O104" s="340" t="s">
        <v>383</v>
      </c>
      <c r="P104" s="341" t="s">
        <v>384</v>
      </c>
      <c r="Q104" s="340" t="s">
        <v>385</v>
      </c>
    </row>
    <row r="105" spans="1:17" s="168" customFormat="1" ht="16.5" customHeight="1" x14ac:dyDescent="0.2">
      <c r="A105" s="342" t="s">
        <v>146</v>
      </c>
      <c r="B105" s="343" t="s">
        <v>147</v>
      </c>
      <c r="C105" s="343" t="s">
        <v>148</v>
      </c>
      <c r="D105" s="296"/>
      <c r="E105" s="344"/>
      <c r="F105" s="344"/>
      <c r="G105" s="296"/>
      <c r="H105" s="344"/>
      <c r="I105" s="344"/>
      <c r="J105" s="164"/>
      <c r="K105" s="164"/>
      <c r="L105" s="164"/>
      <c r="M105" s="164"/>
      <c r="N105" s="345">
        <v>1.52E-2</v>
      </c>
      <c r="O105" s="345">
        <v>2.3699999999999999E-2</v>
      </c>
      <c r="P105" s="346">
        <v>0.15</v>
      </c>
      <c r="Q105" s="345">
        <v>7.3899999999999993E-2</v>
      </c>
    </row>
    <row r="106" spans="1:17" s="168" customFormat="1" ht="16.5" customHeight="1" x14ac:dyDescent="0.2">
      <c r="A106" s="64">
        <v>1E-4</v>
      </c>
      <c r="B106" s="64">
        <v>6.6E-3</v>
      </c>
      <c r="C106" s="65">
        <v>0.01</v>
      </c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347">
        <v>1.7399999999999999E-2</v>
      </c>
      <c r="O106" s="347">
        <v>2.69E-2</v>
      </c>
      <c r="P106" s="348">
        <v>0.16</v>
      </c>
      <c r="Q106" s="347">
        <v>8.1100000000000005E-2</v>
      </c>
    </row>
    <row r="107" spans="1:17" s="168" customFormat="1" ht="16.5" customHeight="1" x14ac:dyDescent="0.2">
      <c r="A107" s="64">
        <v>2.0000000000000001E-4</v>
      </c>
      <c r="B107" s="64">
        <v>1.32E-2</v>
      </c>
      <c r="C107" s="65">
        <v>0.02</v>
      </c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347">
        <v>1.9699999999999999E-2</v>
      </c>
      <c r="O107" s="347">
        <v>3.04E-2</v>
      </c>
      <c r="P107" s="348">
        <v>0.17</v>
      </c>
      <c r="Q107" s="347">
        <v>8.0500000000000002E-2</v>
      </c>
    </row>
    <row r="108" spans="1:17" s="168" customFormat="1" ht="16.5" customHeight="1" x14ac:dyDescent="0.2">
      <c r="A108" s="64">
        <v>5.0000000000000001E-4</v>
      </c>
      <c r="B108" s="64">
        <v>1.9699999999999999E-2</v>
      </c>
      <c r="C108" s="65">
        <v>0.03</v>
      </c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347">
        <v>2.2100000000000002E-2</v>
      </c>
      <c r="O108" s="347">
        <v>3.4000000000000002E-2</v>
      </c>
      <c r="P108" s="348">
        <v>0.18</v>
      </c>
      <c r="Q108" s="347">
        <v>9.6100000000000005E-2</v>
      </c>
    </row>
    <row r="109" spans="1:17" s="168" customFormat="1" ht="16.5" customHeight="1" x14ac:dyDescent="0.2">
      <c r="A109" s="64">
        <v>8.9999999999999998E-4</v>
      </c>
      <c r="B109" s="64">
        <v>2.6200000000000001E-2</v>
      </c>
      <c r="C109" s="65">
        <v>0.04</v>
      </c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347">
        <v>2.46E-2</v>
      </c>
      <c r="O109" s="347">
        <v>3.7699999999999997E-2</v>
      </c>
      <c r="P109" s="348">
        <v>0.19</v>
      </c>
      <c r="Q109" s="347">
        <v>0.10299999999999999</v>
      </c>
    </row>
    <row r="110" spans="1:17" s="168" customFormat="1" ht="16.5" customHeight="1" x14ac:dyDescent="0.2">
      <c r="A110" s="64">
        <v>1.5E-3</v>
      </c>
      <c r="B110" s="64">
        <v>3.2599999999999997E-2</v>
      </c>
      <c r="C110" s="65">
        <v>0.05</v>
      </c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347">
        <v>2.7300000000000001E-2</v>
      </c>
      <c r="O110" s="347">
        <v>4.1799999999999997E-2</v>
      </c>
      <c r="P110" s="348">
        <v>0.2</v>
      </c>
      <c r="Q110" s="347">
        <v>0.111</v>
      </c>
    </row>
    <row r="111" spans="1:17" s="168" customFormat="1" ht="16.5" customHeight="1" x14ac:dyDescent="0.2">
      <c r="A111" s="64">
        <v>2.2000000000000001E-3</v>
      </c>
      <c r="B111" s="64">
        <v>3.8899999999999997E-2</v>
      </c>
      <c r="C111" s="65">
        <v>0.06</v>
      </c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347">
        <v>3.0200000000000001E-2</v>
      </c>
      <c r="O111" s="347">
        <v>4.6100000000000002E-2</v>
      </c>
      <c r="P111" s="348">
        <v>0.21</v>
      </c>
      <c r="Q111" s="347">
        <v>0.11990000000000001</v>
      </c>
    </row>
    <row r="112" spans="1:17" s="168" customFormat="1" ht="16.5" customHeight="1" x14ac:dyDescent="0.2">
      <c r="A112" s="64">
        <v>3.0999999999999999E-3</v>
      </c>
      <c r="B112" s="64">
        <v>4.5100000000000001E-2</v>
      </c>
      <c r="C112" s="65">
        <v>7.0000000000000007E-2</v>
      </c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347">
        <v>3.3099999999999997E-2</v>
      </c>
      <c r="O112" s="347">
        <v>3.04E-2</v>
      </c>
      <c r="P112" s="348">
        <v>0.22</v>
      </c>
      <c r="Q112" s="347">
        <v>0.12609999999999999</v>
      </c>
    </row>
    <row r="113" spans="1:17" s="168" customFormat="1" ht="16.5" customHeight="1" x14ac:dyDescent="0.2">
      <c r="A113" s="64">
        <v>4.1000000000000003E-3</v>
      </c>
      <c r="B113" s="64">
        <v>5.1299999999999998E-2</v>
      </c>
      <c r="C113" s="65">
        <v>0.08</v>
      </c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347">
        <v>3.61E-2</v>
      </c>
      <c r="O113" s="347">
        <v>5.4899999999999997E-2</v>
      </c>
      <c r="P113" s="348">
        <v>0.23</v>
      </c>
      <c r="Q113" s="347">
        <v>0.1366</v>
      </c>
    </row>
    <row r="114" spans="1:17" s="168" customFormat="1" ht="16.5" customHeight="1" x14ac:dyDescent="0.2">
      <c r="A114" s="64">
        <v>5.1999999999999998E-3</v>
      </c>
      <c r="B114" s="64">
        <v>5.7500000000000002E-2</v>
      </c>
      <c r="C114" s="65">
        <v>0.09</v>
      </c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347">
        <v>3.9399999999999998E-2</v>
      </c>
      <c r="O114" s="347">
        <v>5.9700000000000003E-2</v>
      </c>
      <c r="P114" s="348">
        <v>0.24</v>
      </c>
      <c r="Q114" s="347">
        <v>0.1449</v>
      </c>
    </row>
    <row r="115" spans="1:17" s="168" customFormat="1" ht="16.5" customHeight="1" x14ac:dyDescent="0.2">
      <c r="A115" s="64">
        <v>6.4999999999999997E-3</v>
      </c>
      <c r="B115" s="64">
        <v>6.3500000000000001E-2</v>
      </c>
      <c r="C115" s="65">
        <v>0.1</v>
      </c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347">
        <v>4.2700000000000002E-2</v>
      </c>
      <c r="O115" s="347">
        <v>6.4600000000000005E-2</v>
      </c>
      <c r="P115" s="348">
        <v>0.25</v>
      </c>
      <c r="Q115" s="347">
        <v>0.1535</v>
      </c>
    </row>
    <row r="116" spans="1:17" s="168" customFormat="1" ht="16.5" customHeight="1" x14ac:dyDescent="0.2">
      <c r="A116" s="64">
        <v>8.0000000000000002E-3</v>
      </c>
      <c r="B116" s="64">
        <v>6.9500000000000006E-2</v>
      </c>
      <c r="C116" s="65">
        <v>0.11</v>
      </c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347">
        <v>4.3200000000000002E-2</v>
      </c>
      <c r="O116" s="347">
        <v>6.9800000000000001E-2</v>
      </c>
      <c r="P116" s="348">
        <v>0.26</v>
      </c>
      <c r="Q116" s="347">
        <v>0.1623</v>
      </c>
    </row>
    <row r="117" spans="1:17" s="168" customFormat="1" ht="16.5" customHeight="1" x14ac:dyDescent="0.2">
      <c r="A117" s="64">
        <v>9.4999999999999998E-3</v>
      </c>
      <c r="B117" s="64">
        <v>7.5499999999999998E-2</v>
      </c>
      <c r="C117" s="65">
        <v>0.12</v>
      </c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347">
        <v>4.9799999999999997E-2</v>
      </c>
      <c r="O117" s="347">
        <v>7.5200000000000003E-2</v>
      </c>
      <c r="P117" s="348">
        <v>0.27</v>
      </c>
      <c r="Q117" s="347">
        <v>0.1711</v>
      </c>
    </row>
    <row r="118" spans="1:17" s="168" customFormat="1" ht="16.5" customHeight="1" x14ac:dyDescent="0.2">
      <c r="A118" s="64">
        <v>1.1299999999999999E-2</v>
      </c>
      <c r="B118" s="64">
        <v>8.1299999999999997E-2</v>
      </c>
      <c r="C118" s="65">
        <v>0.13</v>
      </c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347">
        <v>5.3499999999999999E-2</v>
      </c>
      <c r="O118" s="347">
        <v>8.0500000000000002E-2</v>
      </c>
      <c r="P118" s="348">
        <v>0.28000000000000003</v>
      </c>
      <c r="Q118" s="347">
        <v>0.18</v>
      </c>
    </row>
    <row r="119" spans="1:17" s="168" customFormat="1" ht="16.5" customHeight="1" x14ac:dyDescent="0.2">
      <c r="A119" s="64">
        <v>1.3100000000000001E-2</v>
      </c>
      <c r="B119" s="64">
        <v>8.7099999999999997E-2</v>
      </c>
      <c r="C119" s="65">
        <v>0.14000000000000001</v>
      </c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347">
        <v>5.7299999999999997E-2</v>
      </c>
      <c r="O119" s="347">
        <v>8.6199999999999999E-2</v>
      </c>
      <c r="P119" s="348">
        <v>0.28999999999999998</v>
      </c>
      <c r="Q119" s="347">
        <v>0.189</v>
      </c>
    </row>
    <row r="120" spans="1:17" s="168" customFormat="1" ht="16.5" customHeight="1" x14ac:dyDescent="0.2">
      <c r="A120" s="64">
        <v>1.52E-2</v>
      </c>
      <c r="B120" s="64">
        <v>9.2899999999999996E-2</v>
      </c>
      <c r="C120" s="65">
        <v>0.15</v>
      </c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347">
        <v>6.13E-2</v>
      </c>
      <c r="O120" s="347">
        <v>9.2100000000000001E-2</v>
      </c>
      <c r="P120" s="348">
        <v>0.3</v>
      </c>
      <c r="Q120" s="347">
        <v>0.19819999999999999</v>
      </c>
    </row>
    <row r="121" spans="1:17" s="168" customFormat="1" ht="16.5" customHeight="1" x14ac:dyDescent="0.2">
      <c r="A121" s="64">
        <v>1.7299999999999999E-2</v>
      </c>
      <c r="B121" s="64">
        <v>9.8599999999999993E-2</v>
      </c>
      <c r="C121" s="65">
        <v>0.16</v>
      </c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347">
        <v>6.5299999999999997E-2</v>
      </c>
      <c r="O121" s="347">
        <v>9.8100000000000007E-2</v>
      </c>
      <c r="P121" s="348">
        <v>0.31</v>
      </c>
      <c r="Q121" s="347">
        <v>0.2074</v>
      </c>
    </row>
    <row r="122" spans="1:17" s="168" customFormat="1" ht="16.5" customHeight="1" x14ac:dyDescent="0.2">
      <c r="A122" s="64">
        <v>1.9599999999999999E-2</v>
      </c>
      <c r="B122" s="64">
        <v>0.1042</v>
      </c>
      <c r="C122" s="65">
        <v>0.17</v>
      </c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347">
        <v>6.9400000000000003E-2</v>
      </c>
      <c r="O122" s="347">
        <v>0.10440000000000001</v>
      </c>
      <c r="P122" s="348">
        <v>0.32</v>
      </c>
      <c r="Q122" s="347">
        <v>0.2167</v>
      </c>
    </row>
    <row r="123" spans="1:17" s="168" customFormat="1" ht="16.5" customHeight="1" x14ac:dyDescent="0.2">
      <c r="A123" s="64">
        <v>2.1999999999999999E-2</v>
      </c>
      <c r="B123" s="64">
        <v>0.10970000000000001</v>
      </c>
      <c r="C123" s="65">
        <v>0.18</v>
      </c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347">
        <v>7.3499999999999996E-2</v>
      </c>
      <c r="O123" s="347">
        <v>0.11070000000000001</v>
      </c>
      <c r="P123" s="348">
        <v>0.33</v>
      </c>
      <c r="Q123" s="347">
        <v>0.22600000000000001</v>
      </c>
    </row>
    <row r="124" spans="1:17" s="168" customFormat="1" ht="16.5" customHeight="1" x14ac:dyDescent="0.2">
      <c r="A124" s="64">
        <v>2.46E-2</v>
      </c>
      <c r="B124" s="64">
        <v>0.1152</v>
      </c>
      <c r="C124" s="65">
        <v>0.19</v>
      </c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347">
        <v>7.7700000000000005E-2</v>
      </c>
      <c r="O124" s="347">
        <v>0.1174</v>
      </c>
      <c r="P124" s="348">
        <v>0.34</v>
      </c>
      <c r="Q124" s="347">
        <v>0.23549999999999999</v>
      </c>
    </row>
    <row r="125" spans="1:17" s="168" customFormat="1" ht="16.5" customHeight="1" x14ac:dyDescent="0.2">
      <c r="A125" s="64">
        <v>2.7300000000000001E-2</v>
      </c>
      <c r="B125" s="64">
        <v>0.1206</v>
      </c>
      <c r="C125" s="65">
        <v>0.2</v>
      </c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347">
        <v>8.1799999999999998E-2</v>
      </c>
      <c r="O125" s="347">
        <v>0.1242</v>
      </c>
      <c r="P125" s="348">
        <v>0.35</v>
      </c>
      <c r="Q125" s="347">
        <v>0.245</v>
      </c>
    </row>
    <row r="126" spans="1:17" s="168" customFormat="1" ht="16.5" customHeight="1" x14ac:dyDescent="0.2">
      <c r="A126" s="64">
        <v>3.0099999999999998E-2</v>
      </c>
      <c r="B126" s="64">
        <v>0.12590000000000001</v>
      </c>
      <c r="C126" s="65">
        <v>0.21</v>
      </c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347">
        <v>8.6400000000000005E-2</v>
      </c>
      <c r="O126" s="347">
        <v>0.13120000000000001</v>
      </c>
      <c r="P126" s="348">
        <v>0.36</v>
      </c>
      <c r="Q126" s="347">
        <v>0.25459999999999999</v>
      </c>
    </row>
    <row r="127" spans="1:17" s="168" customFormat="1" ht="16.5" customHeight="1" x14ac:dyDescent="0.2">
      <c r="A127" s="64">
        <v>3.3099999999999997E-2</v>
      </c>
      <c r="B127" s="64">
        <v>0.13120000000000001</v>
      </c>
      <c r="C127" s="65">
        <v>0.22</v>
      </c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347">
        <v>9.0999999999999998E-2</v>
      </c>
      <c r="O127" s="347">
        <v>0.13830000000000001</v>
      </c>
      <c r="P127" s="348">
        <v>0.37</v>
      </c>
      <c r="Q127" s="347">
        <v>0.26419999999999999</v>
      </c>
    </row>
    <row r="128" spans="1:17" s="168" customFormat="1" ht="16.5" customHeight="1" x14ac:dyDescent="0.2">
      <c r="A128" s="64">
        <v>3.6200000000000003E-2</v>
      </c>
      <c r="B128" s="64">
        <v>0.13639999999999999</v>
      </c>
      <c r="C128" s="65">
        <v>0.23</v>
      </c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347">
        <v>9.5500000000000002E-2</v>
      </c>
      <c r="O128" s="347">
        <v>0.14549999999999999</v>
      </c>
      <c r="P128" s="348">
        <v>0.38</v>
      </c>
      <c r="Q128" s="347">
        <v>0.27389999999999998</v>
      </c>
    </row>
    <row r="129" spans="1:17" s="168" customFormat="1" ht="16.5" customHeight="1" x14ac:dyDescent="0.2">
      <c r="A129" s="64">
        <v>3.9399999999999998E-2</v>
      </c>
      <c r="B129" s="64">
        <v>0.1416</v>
      </c>
      <c r="C129" s="65">
        <v>0.24</v>
      </c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347">
        <v>0.1002</v>
      </c>
      <c r="O129" s="347">
        <v>0.153</v>
      </c>
      <c r="P129" s="348">
        <v>0.39</v>
      </c>
      <c r="Q129" s="347">
        <v>0.28360000000000002</v>
      </c>
    </row>
    <row r="130" spans="1:17" s="168" customFormat="1" ht="16.5" customHeight="1" x14ac:dyDescent="0.2">
      <c r="A130" s="64">
        <v>4.2700000000000002E-2</v>
      </c>
      <c r="B130" s="64">
        <v>0.14660000000000001</v>
      </c>
      <c r="C130" s="65">
        <v>0.25</v>
      </c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347">
        <v>0.105</v>
      </c>
      <c r="O130" s="347">
        <v>0.16039999999999999</v>
      </c>
      <c r="P130" s="348">
        <v>0.4</v>
      </c>
      <c r="Q130" s="347">
        <v>0.29339999999999999</v>
      </c>
    </row>
    <row r="131" spans="1:17" s="168" customFormat="1" ht="16.5" customHeight="1" x14ac:dyDescent="0.2">
      <c r="A131" s="64">
        <v>4.6100000000000002E-2</v>
      </c>
      <c r="B131" s="64">
        <v>0.15160000000000001</v>
      </c>
      <c r="C131" s="65">
        <v>0.26</v>
      </c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347">
        <v>0.20899999999999999</v>
      </c>
      <c r="O131" s="347">
        <v>0.16830000000000001</v>
      </c>
      <c r="P131" s="348">
        <v>0.41</v>
      </c>
      <c r="Q131" s="347">
        <v>0.30320000000000003</v>
      </c>
    </row>
    <row r="132" spans="1:17" s="168" customFormat="1" ht="16.5" customHeight="1" x14ac:dyDescent="0.2">
      <c r="A132" s="64">
        <v>4.9700000000000001E-2</v>
      </c>
      <c r="B132" s="64">
        <v>0.15659999999999999</v>
      </c>
      <c r="C132" s="65">
        <v>0.27</v>
      </c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347">
        <v>0.1148</v>
      </c>
      <c r="O132" s="347">
        <v>0.1762</v>
      </c>
      <c r="P132" s="348">
        <v>0.42</v>
      </c>
      <c r="Q132" s="347">
        <v>0.313</v>
      </c>
    </row>
    <row r="133" spans="1:17" s="168" customFormat="1" ht="16.5" customHeight="1" x14ac:dyDescent="0.2">
      <c r="A133" s="64">
        <v>5.3400000000000003E-2</v>
      </c>
      <c r="B133" s="64">
        <v>0.16139999999999999</v>
      </c>
      <c r="C133" s="65">
        <v>0.28000000000000003</v>
      </c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347">
        <v>0.1198</v>
      </c>
      <c r="O133" s="347">
        <v>0.18440000000000001</v>
      </c>
      <c r="P133" s="348">
        <v>0.43</v>
      </c>
      <c r="Q133" s="347">
        <v>0.32290000000000002</v>
      </c>
    </row>
    <row r="134" spans="1:17" s="168" customFormat="1" ht="16.5" customHeight="1" x14ac:dyDescent="0.2">
      <c r="A134" s="64">
        <v>5.7200000000000001E-2</v>
      </c>
      <c r="B134" s="64">
        <v>0.16619999999999999</v>
      </c>
      <c r="C134" s="65">
        <v>0.28999999999999998</v>
      </c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347">
        <v>0.12479999999999999</v>
      </c>
      <c r="O134" s="347">
        <v>0.19259999999999999</v>
      </c>
      <c r="P134" s="348">
        <v>0.44</v>
      </c>
      <c r="Q134" s="347">
        <v>0.33279999999999998</v>
      </c>
    </row>
    <row r="135" spans="1:17" s="168" customFormat="1" ht="16.5" customHeight="1" x14ac:dyDescent="0.2">
      <c r="A135" s="64">
        <v>6.0999999999999999E-2</v>
      </c>
      <c r="B135" s="64">
        <v>0.1709</v>
      </c>
      <c r="C135" s="65">
        <v>0.3</v>
      </c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347">
        <v>0.1298</v>
      </c>
      <c r="O135" s="347">
        <v>0.2014</v>
      </c>
      <c r="P135" s="348">
        <v>0.45</v>
      </c>
      <c r="Q135" s="347">
        <v>0.34200000000000003</v>
      </c>
    </row>
    <row r="136" spans="1:17" s="168" customFormat="1" ht="16.5" customHeight="1" x14ac:dyDescent="0.2">
      <c r="A136" s="64">
        <v>6.5000000000000002E-2</v>
      </c>
      <c r="B136" s="64">
        <v>0.17560000000000001</v>
      </c>
      <c r="C136" s="65">
        <v>0.31</v>
      </c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347">
        <v>0.13469999999999999</v>
      </c>
      <c r="O136" s="347">
        <v>0.20979999999999999</v>
      </c>
      <c r="P136" s="348">
        <v>0.46</v>
      </c>
      <c r="Q136" s="347">
        <v>0.35270000000000001</v>
      </c>
    </row>
    <row r="137" spans="1:17" s="168" customFormat="1" ht="16.5" customHeight="1" x14ac:dyDescent="0.2">
      <c r="A137" s="64">
        <v>6.9099999999999995E-2</v>
      </c>
      <c r="B137" s="64">
        <v>0.1802</v>
      </c>
      <c r="C137" s="65">
        <v>0.32</v>
      </c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347">
        <v>0.1401</v>
      </c>
      <c r="O137" s="347">
        <v>0.2185</v>
      </c>
      <c r="P137" s="348">
        <v>0.47</v>
      </c>
      <c r="Q137" s="347">
        <v>0.36270000000000002</v>
      </c>
    </row>
    <row r="138" spans="1:17" s="168" customFormat="1" ht="16.5" customHeight="1" x14ac:dyDescent="0.2">
      <c r="A138" s="64">
        <v>7.3300000000000004E-2</v>
      </c>
      <c r="B138" s="64">
        <v>0.1847</v>
      </c>
      <c r="C138" s="65">
        <v>0.33</v>
      </c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347">
        <v>0.14510000000000001</v>
      </c>
      <c r="O138" s="347">
        <v>0.2276</v>
      </c>
      <c r="P138" s="348">
        <v>0.48</v>
      </c>
      <c r="Q138" s="347">
        <v>0.37269999999999998</v>
      </c>
    </row>
    <row r="139" spans="1:17" s="168" customFormat="1" ht="16.5" customHeight="1" x14ac:dyDescent="0.2">
      <c r="A139" s="64">
        <v>7.7600000000000002E-2</v>
      </c>
      <c r="B139" s="64">
        <v>0.18909999999999999</v>
      </c>
      <c r="C139" s="65">
        <v>0.34</v>
      </c>
      <c r="D139" s="349"/>
      <c r="E139" s="349"/>
      <c r="F139" s="350"/>
      <c r="G139" s="349"/>
      <c r="H139" s="349"/>
      <c r="I139" s="350"/>
      <c r="J139" s="164"/>
      <c r="K139" s="164"/>
      <c r="L139" s="164"/>
      <c r="M139" s="164"/>
      <c r="N139" s="347">
        <v>0.15079999999999999</v>
      </c>
      <c r="O139" s="347">
        <v>0.23680000000000001</v>
      </c>
      <c r="P139" s="348">
        <v>0.49</v>
      </c>
      <c r="Q139" s="347">
        <v>0.38269999999999998</v>
      </c>
    </row>
    <row r="140" spans="1:17" s="168" customFormat="1" ht="16.5" customHeight="1" x14ac:dyDescent="0.2">
      <c r="A140" s="64">
        <v>8.2000000000000003E-2</v>
      </c>
      <c r="B140" s="64">
        <v>0.19350000000000001</v>
      </c>
      <c r="C140" s="65">
        <v>0.35</v>
      </c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347">
        <v>0.15590000000000001</v>
      </c>
      <c r="O140" s="347">
        <v>0.24640000000000001</v>
      </c>
      <c r="P140" s="348">
        <v>0.5</v>
      </c>
      <c r="Q140" s="347">
        <v>0.39300000000000002</v>
      </c>
    </row>
    <row r="141" spans="1:17" s="168" customFormat="1" ht="16.5" customHeight="1" x14ac:dyDescent="0.2">
      <c r="A141" s="64">
        <v>8.6400000000000005E-2</v>
      </c>
      <c r="B141" s="64">
        <v>0.1978</v>
      </c>
      <c r="C141" s="65">
        <v>0.36</v>
      </c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347">
        <v>0.16120000000000001</v>
      </c>
      <c r="O141" s="347">
        <v>0.255</v>
      </c>
      <c r="P141" s="348">
        <v>0.51</v>
      </c>
      <c r="Q141" s="347">
        <v>0.40300000000000002</v>
      </c>
    </row>
    <row r="142" spans="1:17" s="168" customFormat="1" ht="16.5" customHeight="1" x14ac:dyDescent="0.2">
      <c r="A142" s="64">
        <v>9.0999999999999998E-2</v>
      </c>
      <c r="B142" s="64">
        <v>0.20200000000000001</v>
      </c>
      <c r="C142" s="65">
        <v>0.37</v>
      </c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347">
        <v>0.1668</v>
      </c>
      <c r="O142" s="347">
        <v>0.2651</v>
      </c>
      <c r="P142" s="348">
        <v>0.52</v>
      </c>
      <c r="Q142" s="347">
        <v>0.41299999999999998</v>
      </c>
    </row>
    <row r="143" spans="1:17" s="168" customFormat="1" ht="16.5" customHeight="1" x14ac:dyDescent="0.2">
      <c r="A143" s="64">
        <v>9.5600000000000004E-2</v>
      </c>
      <c r="B143" s="64">
        <v>0.20619999999999999</v>
      </c>
      <c r="C143" s="65">
        <v>0.38</v>
      </c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347">
        <v>0.1719</v>
      </c>
      <c r="O143" s="347">
        <v>0.27510000000000001</v>
      </c>
      <c r="P143" s="348">
        <v>0.53</v>
      </c>
      <c r="Q143" s="347">
        <v>0.42299999999999999</v>
      </c>
    </row>
    <row r="144" spans="1:17" s="168" customFormat="1" ht="16.5" customHeight="1" x14ac:dyDescent="0.2">
      <c r="A144" s="64">
        <v>0.1003</v>
      </c>
      <c r="B144" s="64">
        <v>0.2102</v>
      </c>
      <c r="C144" s="65">
        <v>0.39</v>
      </c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347">
        <v>0.17730000000000001</v>
      </c>
      <c r="O144" s="347">
        <v>0.2853</v>
      </c>
      <c r="P144" s="348">
        <v>0.54</v>
      </c>
      <c r="Q144" s="347">
        <v>0.433</v>
      </c>
    </row>
    <row r="145" spans="1:17" s="168" customFormat="1" ht="16.5" customHeight="1" x14ac:dyDescent="0.2">
      <c r="A145" s="64">
        <v>0.105</v>
      </c>
      <c r="B145" s="64">
        <v>0.2142</v>
      </c>
      <c r="C145" s="65">
        <v>0.4</v>
      </c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347">
        <v>0.18279999999999999</v>
      </c>
      <c r="O145" s="347">
        <v>0.29559999999999997</v>
      </c>
      <c r="P145" s="348">
        <v>0.55000000000000004</v>
      </c>
      <c r="Q145" s="347">
        <v>0.443</v>
      </c>
    </row>
    <row r="146" spans="1:17" s="168" customFormat="1" ht="16.5" customHeight="1" x14ac:dyDescent="0.2">
      <c r="A146" s="64">
        <v>0.1099</v>
      </c>
      <c r="B146" s="64">
        <v>0.21820000000000001</v>
      </c>
      <c r="C146" s="65">
        <v>0.41</v>
      </c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347">
        <v>0.1883</v>
      </c>
      <c r="O146" s="347">
        <v>0.30690000000000001</v>
      </c>
      <c r="P146" s="348">
        <v>0.56000000000000005</v>
      </c>
      <c r="Q146" s="347">
        <v>0.45300000000000001</v>
      </c>
    </row>
    <row r="147" spans="1:17" s="168" customFormat="1" ht="16.5" customHeight="1" x14ac:dyDescent="0.2">
      <c r="A147" s="64">
        <v>0.1148</v>
      </c>
      <c r="B147" s="64">
        <v>0.222</v>
      </c>
      <c r="C147" s="65">
        <v>0.42</v>
      </c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347">
        <v>0.183</v>
      </c>
      <c r="O147" s="347">
        <v>0.31569999999999998</v>
      </c>
      <c r="P147" s="348">
        <v>0.56999999999999995</v>
      </c>
      <c r="Q147" s="347">
        <v>0.46200000000000002</v>
      </c>
    </row>
    <row r="148" spans="1:17" s="168" customFormat="1" ht="16.5" customHeight="1" x14ac:dyDescent="0.2">
      <c r="A148" s="64">
        <v>0.1197</v>
      </c>
      <c r="B148" s="64">
        <v>0.2258</v>
      </c>
      <c r="C148" s="65">
        <v>0.43</v>
      </c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347">
        <v>0.1988</v>
      </c>
      <c r="O148" s="347">
        <v>0.32629999999999998</v>
      </c>
      <c r="P148" s="348">
        <v>0.57999999999999996</v>
      </c>
      <c r="Q148" s="347">
        <v>0.47199999999999998</v>
      </c>
    </row>
    <row r="149" spans="1:17" s="168" customFormat="1" ht="16.5" customHeight="1" x14ac:dyDescent="0.2">
      <c r="A149" s="64">
        <v>0.12479999999999999</v>
      </c>
      <c r="B149" s="64">
        <v>0.22950000000000001</v>
      </c>
      <c r="C149" s="65">
        <v>0.44</v>
      </c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347">
        <v>0.20380000000000001</v>
      </c>
      <c r="O149" s="347">
        <v>0.33739999999999998</v>
      </c>
      <c r="P149" s="348">
        <v>0.59</v>
      </c>
      <c r="Q149" s="347">
        <v>0.48199999999999998</v>
      </c>
    </row>
    <row r="150" spans="1:17" s="168" customFormat="1" ht="16.5" customHeight="1" x14ac:dyDescent="0.2">
      <c r="A150" s="64">
        <v>0.1298</v>
      </c>
      <c r="B150" s="64">
        <v>0.2331</v>
      </c>
      <c r="C150" s="65">
        <v>0.45</v>
      </c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347">
        <v>0.20979999999999999</v>
      </c>
      <c r="O150" s="347">
        <v>0.34660000000000002</v>
      </c>
      <c r="P150" s="348">
        <v>0.6</v>
      </c>
      <c r="Q150" s="347">
        <v>0.49199999999999999</v>
      </c>
    </row>
    <row r="151" spans="1:17" s="168" customFormat="1" ht="16.5" customHeight="1" x14ac:dyDescent="0.2">
      <c r="A151" s="64">
        <v>0.13500000000000001</v>
      </c>
      <c r="B151" s="64">
        <v>0.2366</v>
      </c>
      <c r="C151" s="65">
        <v>0.46</v>
      </c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347">
        <v>0.21490000000000001</v>
      </c>
      <c r="O151" s="347">
        <v>0.3599</v>
      </c>
      <c r="P151" s="348">
        <v>0.61</v>
      </c>
      <c r="Q151" s="347">
        <v>0.502</v>
      </c>
    </row>
    <row r="152" spans="1:17" s="168" customFormat="1" ht="16.5" customHeight="1" x14ac:dyDescent="0.2">
      <c r="A152" s="64">
        <v>0.1401</v>
      </c>
      <c r="B152" s="64">
        <v>0.24010000000000001</v>
      </c>
      <c r="C152" s="65">
        <v>0.47</v>
      </c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347">
        <v>0.22020000000000001</v>
      </c>
      <c r="O152" s="347">
        <v>0.37169999999999997</v>
      </c>
      <c r="P152" s="348">
        <v>0.62</v>
      </c>
      <c r="Q152" s="347">
        <v>0.51200000000000001</v>
      </c>
    </row>
    <row r="153" spans="1:17" s="168" customFormat="1" ht="16.5" customHeight="1" x14ac:dyDescent="0.2">
      <c r="A153" s="64">
        <v>0.14530000000000001</v>
      </c>
      <c r="B153" s="64">
        <v>0.24349999999999999</v>
      </c>
      <c r="C153" s="65">
        <v>0.48</v>
      </c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347">
        <v>0.22509999999999999</v>
      </c>
      <c r="O153" s="347">
        <v>0.38279999999999997</v>
      </c>
      <c r="P153" s="348">
        <v>0.63</v>
      </c>
      <c r="Q153" s="347">
        <v>0.52200000000000002</v>
      </c>
    </row>
    <row r="154" spans="1:17" s="168" customFormat="1" ht="16.5" customHeight="1" x14ac:dyDescent="0.2">
      <c r="A154" s="64">
        <v>0.15060000000000001</v>
      </c>
      <c r="B154" s="64">
        <v>0.24679999999999999</v>
      </c>
      <c r="C154" s="65">
        <v>0.49</v>
      </c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347">
        <v>0.23050000000000001</v>
      </c>
      <c r="O154" s="347">
        <v>0.39489999999999997</v>
      </c>
      <c r="P154" s="348">
        <v>0.64</v>
      </c>
      <c r="Q154" s="351" t="s">
        <v>386</v>
      </c>
    </row>
    <row r="155" spans="1:17" s="168" customFormat="1" ht="16.5" customHeight="1" x14ac:dyDescent="0.2">
      <c r="A155" s="64">
        <v>0.15579999999999999</v>
      </c>
      <c r="B155" s="64">
        <v>0.25</v>
      </c>
      <c r="C155" s="65">
        <v>0.5</v>
      </c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347">
        <v>0.2354</v>
      </c>
      <c r="O155" s="347">
        <v>0.40620000000000001</v>
      </c>
      <c r="P155" s="348">
        <v>0.65</v>
      </c>
      <c r="Q155" s="347">
        <v>0.54</v>
      </c>
    </row>
    <row r="156" spans="1:17" s="168" customFormat="1" ht="16.5" customHeight="1" x14ac:dyDescent="0.2">
      <c r="A156" s="64">
        <v>0.16120000000000001</v>
      </c>
      <c r="B156" s="64">
        <v>0.25309999999999999</v>
      </c>
      <c r="C156" s="65">
        <v>0.51</v>
      </c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347">
        <v>0.24099999999999999</v>
      </c>
      <c r="O156" s="347">
        <v>0.41620000000000001</v>
      </c>
      <c r="P156" s="348">
        <v>0.66</v>
      </c>
      <c r="Q156" s="347">
        <v>0.55000000000000004</v>
      </c>
    </row>
    <row r="157" spans="1:17" s="168" customFormat="1" ht="16.5" customHeight="1" x14ac:dyDescent="0.2">
      <c r="A157" s="64">
        <v>0.16650000000000001</v>
      </c>
      <c r="B157" s="64">
        <v>0.25619999999999998</v>
      </c>
      <c r="C157" s="65">
        <v>0.52</v>
      </c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347">
        <v>0.24610000000000001</v>
      </c>
      <c r="O157" s="347">
        <v>0.43120000000000003</v>
      </c>
      <c r="P157" s="348">
        <v>0.67</v>
      </c>
      <c r="Q157" s="347">
        <v>0.55900000000000005</v>
      </c>
    </row>
    <row r="158" spans="1:17" s="168" customFormat="1" ht="16.5" customHeight="1" x14ac:dyDescent="0.2">
      <c r="A158" s="64">
        <v>0.17180000000000001</v>
      </c>
      <c r="B158" s="64">
        <v>0.25919999999999999</v>
      </c>
      <c r="C158" s="65">
        <v>0.53</v>
      </c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352">
        <v>0.251</v>
      </c>
      <c r="O158" s="352">
        <v>0.44440000000000002</v>
      </c>
      <c r="P158" s="353">
        <v>0.68</v>
      </c>
      <c r="Q158" s="352">
        <v>0.56899999999999995</v>
      </c>
    </row>
    <row r="159" spans="1:17" s="168" customFormat="1" ht="16.5" customHeight="1" x14ac:dyDescent="0.2">
      <c r="A159" s="64">
        <v>0.1772</v>
      </c>
      <c r="B159" s="64">
        <v>0.2621</v>
      </c>
      <c r="C159" s="65">
        <v>0.54</v>
      </c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345">
        <v>0.25609999999999999</v>
      </c>
      <c r="O159" s="345">
        <v>0.45700000000000002</v>
      </c>
      <c r="P159" s="346">
        <v>0.69</v>
      </c>
      <c r="Q159" s="345">
        <v>0.57799999999999996</v>
      </c>
    </row>
    <row r="160" spans="1:17" s="168" customFormat="1" ht="16.5" customHeight="1" x14ac:dyDescent="0.2">
      <c r="A160" s="64">
        <v>0.18260000000000001</v>
      </c>
      <c r="B160" s="64">
        <v>0.26490000000000002</v>
      </c>
      <c r="C160" s="65">
        <v>0.55000000000000004</v>
      </c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347">
        <v>0.26069999999999999</v>
      </c>
      <c r="O160" s="347">
        <v>0.47</v>
      </c>
      <c r="P160" s="348">
        <v>0.7</v>
      </c>
      <c r="Q160" s="347">
        <v>0.58699999999999997</v>
      </c>
    </row>
    <row r="161" spans="1:17" s="168" customFormat="1" ht="16.5" customHeight="1" x14ac:dyDescent="0.2">
      <c r="A161" s="64">
        <v>0.18790000000000001</v>
      </c>
      <c r="B161" s="64">
        <v>0.2676</v>
      </c>
      <c r="C161" s="65">
        <v>0.56000000000000005</v>
      </c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347">
        <v>0.26590000000000003</v>
      </c>
      <c r="O161" s="347">
        <v>0.48309999999999997</v>
      </c>
      <c r="P161" s="348">
        <v>0.71</v>
      </c>
      <c r="Q161" s="347">
        <v>0.69599999999999995</v>
      </c>
    </row>
    <row r="162" spans="1:17" s="168" customFormat="1" ht="16.5" customHeight="1" x14ac:dyDescent="0.2">
      <c r="A162" s="64">
        <v>0.1933</v>
      </c>
      <c r="B162" s="64">
        <v>0.27029999999999998</v>
      </c>
      <c r="C162" s="65">
        <v>0.56999999999999995</v>
      </c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347">
        <v>0.27050000000000002</v>
      </c>
      <c r="O162" s="347">
        <v>0.49869999999999998</v>
      </c>
      <c r="P162" s="348">
        <v>0.72</v>
      </c>
      <c r="Q162" s="347">
        <v>0.60499999999999998</v>
      </c>
    </row>
    <row r="163" spans="1:17" s="168" customFormat="1" ht="16.5" customHeight="1" x14ac:dyDescent="0.2">
      <c r="A163" s="64">
        <v>0.19869999999999999</v>
      </c>
      <c r="B163" s="64">
        <v>0.27279999999999999</v>
      </c>
      <c r="C163" s="65">
        <v>0.57999999999999996</v>
      </c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347">
        <v>0.27510000000000001</v>
      </c>
      <c r="O163" s="347">
        <v>0.51080000000000003</v>
      </c>
      <c r="P163" s="348">
        <v>0.73</v>
      </c>
      <c r="Q163" s="347">
        <v>0.61399999999999999</v>
      </c>
    </row>
    <row r="164" spans="1:17" s="168" customFormat="1" ht="16.5" customHeight="1" x14ac:dyDescent="0.2">
      <c r="A164" s="64">
        <v>0.2041</v>
      </c>
      <c r="B164" s="64">
        <v>0.27529999999999999</v>
      </c>
      <c r="C164" s="65">
        <v>0.59</v>
      </c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347">
        <v>0.27979999999999999</v>
      </c>
      <c r="O164" s="347">
        <v>0.52400000000000002</v>
      </c>
      <c r="P164" s="348">
        <v>0.74</v>
      </c>
      <c r="Q164" s="347">
        <v>0.623</v>
      </c>
    </row>
    <row r="165" spans="1:17" s="168" customFormat="1" ht="16.5" customHeight="1" x14ac:dyDescent="0.2">
      <c r="A165" s="64">
        <v>0.2094</v>
      </c>
      <c r="B165" s="64">
        <v>0.27760000000000001</v>
      </c>
      <c r="C165" s="65">
        <v>0.6</v>
      </c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347">
        <v>0.28449999999999998</v>
      </c>
      <c r="O165" s="347">
        <v>0.54</v>
      </c>
      <c r="P165" s="348">
        <v>0.75</v>
      </c>
      <c r="Q165" s="347">
        <v>0.63200000000000001</v>
      </c>
    </row>
    <row r="166" spans="1:17" s="168" customFormat="1" ht="16.5" customHeight="1" x14ac:dyDescent="0.2">
      <c r="A166" s="64">
        <v>0.2147</v>
      </c>
      <c r="B166" s="64">
        <v>0.27989999999999998</v>
      </c>
      <c r="C166" s="65">
        <v>0.61</v>
      </c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347">
        <v>0.28810000000000002</v>
      </c>
      <c r="O166" s="347">
        <v>0.55430000000000001</v>
      </c>
      <c r="P166" s="348">
        <v>0.76</v>
      </c>
      <c r="Q166" s="347">
        <v>0.64</v>
      </c>
    </row>
    <row r="167" spans="1:17" s="168" customFormat="1" ht="16.5" customHeight="1" x14ac:dyDescent="0.2">
      <c r="A167" s="64">
        <v>0.22</v>
      </c>
      <c r="B167" s="64">
        <v>0.28210000000000002</v>
      </c>
      <c r="C167" s="65">
        <v>0.62</v>
      </c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347">
        <v>0.2928</v>
      </c>
      <c r="O167" s="347">
        <v>0.55989999999999995</v>
      </c>
      <c r="P167" s="348">
        <v>0.77</v>
      </c>
      <c r="Q167" s="347">
        <v>0.64900000000000002</v>
      </c>
    </row>
    <row r="168" spans="1:17" s="168" customFormat="1" ht="16.5" customHeight="1" x14ac:dyDescent="0.2">
      <c r="A168" s="64">
        <v>0.2253</v>
      </c>
      <c r="B168" s="64">
        <v>0.28420000000000001</v>
      </c>
      <c r="C168" s="65">
        <v>0.63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347">
        <v>0.29699999999999999</v>
      </c>
      <c r="O168" s="347">
        <v>0.60509999999999997</v>
      </c>
      <c r="P168" s="348">
        <v>0.78</v>
      </c>
      <c r="Q168" s="347">
        <v>0.65700000000000003</v>
      </c>
    </row>
    <row r="169" spans="1:17" s="168" customFormat="1" ht="16.5" customHeight="1" x14ac:dyDescent="0.2">
      <c r="A169" s="64">
        <v>0.2306</v>
      </c>
      <c r="B169" s="64">
        <v>0.28620000000000001</v>
      </c>
      <c r="C169" s="65">
        <v>0.64</v>
      </c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347">
        <v>0.30109999999999998</v>
      </c>
      <c r="O169" s="347">
        <v>0.60199999999999998</v>
      </c>
      <c r="P169" s="348">
        <v>0.79</v>
      </c>
      <c r="Q169" s="347">
        <v>0.66600000000000004</v>
      </c>
    </row>
    <row r="170" spans="1:17" s="168" customFormat="1" ht="16.5" customHeight="1" x14ac:dyDescent="0.2">
      <c r="A170" s="64">
        <v>0.23880000000000001</v>
      </c>
      <c r="B170" s="64">
        <v>0.28820000000000001</v>
      </c>
      <c r="C170" s="65">
        <v>0.65</v>
      </c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347">
        <v>0.30470000000000003</v>
      </c>
      <c r="O170" s="347">
        <v>0.61850000000000005</v>
      </c>
      <c r="P170" s="348">
        <v>0.8</v>
      </c>
      <c r="Q170" s="347">
        <v>0.67400000000000004</v>
      </c>
    </row>
    <row r="171" spans="1:17" s="168" customFormat="1" ht="16.5" customHeight="1" x14ac:dyDescent="0.2">
      <c r="A171" s="64">
        <v>0.2409</v>
      </c>
      <c r="B171" s="64">
        <v>0.28989999999999999</v>
      </c>
      <c r="C171" s="65">
        <v>0.66</v>
      </c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347">
        <v>0.30790000000000001</v>
      </c>
      <c r="O171" s="347">
        <v>0.63480000000000003</v>
      </c>
      <c r="P171" s="348">
        <v>0.81</v>
      </c>
      <c r="Q171" s="347">
        <v>0.68100000000000005</v>
      </c>
    </row>
    <row r="172" spans="1:17" s="168" customFormat="1" ht="16.5" customHeight="1" x14ac:dyDescent="0.2">
      <c r="A172" s="64">
        <v>0.246</v>
      </c>
      <c r="B172" s="64">
        <v>0.29170000000000001</v>
      </c>
      <c r="C172" s="65">
        <v>0.67</v>
      </c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347">
        <v>0.3115</v>
      </c>
      <c r="O172" s="347">
        <v>0.65259999999999996</v>
      </c>
      <c r="P172" s="348">
        <v>0.82</v>
      </c>
      <c r="Q172" s="347">
        <v>0.68899999999999995</v>
      </c>
    </row>
    <row r="173" spans="1:17" s="168" customFormat="1" ht="16.5" customHeight="1" x14ac:dyDescent="0.2">
      <c r="A173" s="64">
        <v>0.25109999999999999</v>
      </c>
      <c r="B173" s="64">
        <v>0.29330000000000001</v>
      </c>
      <c r="C173" s="65">
        <v>0.68</v>
      </c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347">
        <v>0.31509999999999999</v>
      </c>
      <c r="O173" s="347">
        <v>0.6714</v>
      </c>
      <c r="P173" s="348">
        <v>0.83</v>
      </c>
      <c r="Q173" s="347">
        <v>0.69699999999999995</v>
      </c>
    </row>
    <row r="174" spans="1:17" s="168" customFormat="1" ht="16.5" customHeight="1" x14ac:dyDescent="0.2">
      <c r="A174" s="64">
        <v>0.25600000000000001</v>
      </c>
      <c r="B174" s="64">
        <v>0.29480000000000001</v>
      </c>
      <c r="C174" s="65">
        <v>0.69</v>
      </c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347">
        <v>0.31830000000000003</v>
      </c>
      <c r="O174" s="347">
        <v>0.68979999999999997</v>
      </c>
      <c r="P174" s="348">
        <v>0.84</v>
      </c>
      <c r="Q174" s="347">
        <v>0.70399999999999996</v>
      </c>
    </row>
    <row r="175" spans="1:17" s="168" customFormat="1" ht="16.5" customHeight="1" x14ac:dyDescent="0.2">
      <c r="A175" s="64">
        <v>0.26100000000000001</v>
      </c>
      <c r="B175" s="64">
        <v>0.29620000000000002</v>
      </c>
      <c r="C175" s="65">
        <v>0.7</v>
      </c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347">
        <v>0.32119999999999999</v>
      </c>
      <c r="O175" s="347">
        <v>0.71060000000000001</v>
      </c>
      <c r="P175" s="348">
        <v>0.85</v>
      </c>
      <c r="Q175" s="347">
        <v>0.71199999999999997</v>
      </c>
    </row>
    <row r="176" spans="1:17" s="168" customFormat="1" ht="16.5" customHeight="1" x14ac:dyDescent="0.2">
      <c r="A176" s="64">
        <v>0.26579999999999998</v>
      </c>
      <c r="B176" s="64">
        <v>0.29749999999999999</v>
      </c>
      <c r="C176" s="65">
        <v>0.71</v>
      </c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347">
        <v>0.32429999999999998</v>
      </c>
      <c r="O176" s="347">
        <v>0.72699999999999998</v>
      </c>
      <c r="P176" s="348">
        <v>0.86</v>
      </c>
      <c r="Q176" s="347">
        <v>0.71899999999999997</v>
      </c>
    </row>
    <row r="177" spans="1:17" s="168" customFormat="1" ht="16.5" customHeight="1" x14ac:dyDescent="0.2">
      <c r="A177" s="64">
        <v>0.27050000000000002</v>
      </c>
      <c r="B177" s="64">
        <v>0.29880000000000001</v>
      </c>
      <c r="C177" s="65">
        <v>0.72</v>
      </c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347">
        <v>0.32629999999999998</v>
      </c>
      <c r="O177" s="347">
        <v>0.75270000000000004</v>
      </c>
      <c r="P177" s="348">
        <v>0.87</v>
      </c>
      <c r="Q177" s="347">
        <v>0.72499999999999998</v>
      </c>
    </row>
    <row r="178" spans="1:17" s="168" customFormat="1" ht="16.5" customHeight="1" x14ac:dyDescent="0.2">
      <c r="A178" s="64">
        <v>0.2752</v>
      </c>
      <c r="B178" s="64">
        <v>0.29980000000000001</v>
      </c>
      <c r="C178" s="65">
        <v>0.73</v>
      </c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347">
        <v>0.32669999999999999</v>
      </c>
      <c r="O178" s="347">
        <v>0.77669999999999995</v>
      </c>
      <c r="P178" s="348">
        <v>0.88</v>
      </c>
      <c r="Q178" s="347">
        <v>0.73199999999999998</v>
      </c>
    </row>
    <row r="179" spans="1:17" s="168" customFormat="1" ht="16.5" customHeight="1" x14ac:dyDescent="0.2">
      <c r="A179" s="64">
        <v>0.27979999999999999</v>
      </c>
      <c r="B179" s="64">
        <v>0.30080000000000001</v>
      </c>
      <c r="C179" s="65">
        <v>0.74</v>
      </c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352">
        <v>0.33</v>
      </c>
      <c r="O179" s="352">
        <v>0.80169999999999997</v>
      </c>
      <c r="P179" s="353">
        <v>0.89</v>
      </c>
      <c r="Q179" s="352">
        <v>0.73799999999999999</v>
      </c>
    </row>
    <row r="180" spans="1:17" s="168" customFormat="1" ht="16.5" customHeight="1" x14ac:dyDescent="0.2">
      <c r="A180" s="64">
        <v>0.28420000000000001</v>
      </c>
      <c r="B180" s="64">
        <v>0.30170000000000002</v>
      </c>
      <c r="C180" s="65">
        <v>0.75</v>
      </c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7"/>
      <c r="Q180" s="164"/>
    </row>
    <row r="181" spans="1:17" s="168" customFormat="1" ht="16.5" customHeight="1" x14ac:dyDescent="0.2">
      <c r="A181" s="64">
        <v>0.28860000000000002</v>
      </c>
      <c r="B181" s="64">
        <v>0.3024</v>
      </c>
      <c r="C181" s="65">
        <v>0.76</v>
      </c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7"/>
      <c r="Q181" s="164"/>
    </row>
    <row r="182" spans="1:17" s="168" customFormat="1" ht="16.5" customHeight="1" x14ac:dyDescent="0.2">
      <c r="A182" s="64">
        <v>0.2928</v>
      </c>
      <c r="B182" s="64">
        <v>0.30309999999999998</v>
      </c>
      <c r="C182" s="65">
        <v>0.77</v>
      </c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7"/>
      <c r="Q182" s="164"/>
    </row>
    <row r="183" spans="1:17" s="168" customFormat="1" ht="16.5" customHeight="1" x14ac:dyDescent="0.2">
      <c r="A183" s="64">
        <v>0.2969</v>
      </c>
      <c r="B183" s="64">
        <v>0.30359999999999998</v>
      </c>
      <c r="C183" s="65">
        <v>0.78</v>
      </c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7"/>
      <c r="Q183" s="164"/>
    </row>
    <row r="184" spans="1:17" s="168" customFormat="1" ht="16.5" customHeight="1" x14ac:dyDescent="0.2">
      <c r="A184" s="64">
        <v>0.3009</v>
      </c>
      <c r="B184" s="64">
        <v>0.30399999999999999</v>
      </c>
      <c r="C184" s="65">
        <v>0.79</v>
      </c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7"/>
      <c r="Q184" s="164"/>
    </row>
    <row r="185" spans="1:17" s="168" customFormat="1" ht="16.5" customHeight="1" x14ac:dyDescent="0.2">
      <c r="A185" s="64">
        <v>0.30470000000000003</v>
      </c>
      <c r="B185" s="64">
        <v>0.30420000000000003</v>
      </c>
      <c r="C185" s="65">
        <v>0.8</v>
      </c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7"/>
      <c r="Q185" s="164"/>
    </row>
    <row r="186" spans="1:17" s="168" customFormat="1" ht="16.5" customHeight="1" x14ac:dyDescent="0.2">
      <c r="A186" s="64">
        <v>0.30830000000000002</v>
      </c>
      <c r="B186" s="64">
        <v>0.30430000000000001</v>
      </c>
      <c r="C186" s="65">
        <v>0.81</v>
      </c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7"/>
      <c r="Q186" s="164"/>
    </row>
    <row r="187" spans="1:17" s="168" customFormat="1" ht="16.5" customHeight="1" x14ac:dyDescent="0.2">
      <c r="A187" s="64">
        <v>0.31180000000000002</v>
      </c>
      <c r="B187" s="64">
        <v>0.30430000000000001</v>
      </c>
      <c r="C187" s="65">
        <v>0.82</v>
      </c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7"/>
      <c r="Q187" s="164"/>
    </row>
    <row r="188" spans="1:17" s="168" customFormat="1" ht="16.5" customHeight="1" x14ac:dyDescent="0.2">
      <c r="A188" s="64">
        <v>0.31509999999999999</v>
      </c>
      <c r="B188" s="64">
        <v>0.30409999999999998</v>
      </c>
      <c r="C188" s="65">
        <v>0.83</v>
      </c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7"/>
      <c r="Q188" s="164"/>
    </row>
    <row r="189" spans="1:17" s="168" customFormat="1" ht="16.5" customHeight="1" x14ac:dyDescent="0.2">
      <c r="A189" s="64">
        <v>0.31830000000000003</v>
      </c>
      <c r="B189" s="64">
        <v>0.30380000000000001</v>
      </c>
      <c r="C189" s="65">
        <v>0.84</v>
      </c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7"/>
      <c r="Q189" s="164"/>
    </row>
    <row r="190" spans="1:17" s="168" customFormat="1" ht="16.5" customHeight="1" x14ac:dyDescent="0.2">
      <c r="A190" s="64">
        <v>0.32119999999999999</v>
      </c>
      <c r="B190" s="64">
        <v>0.30330000000000001</v>
      </c>
      <c r="C190" s="65">
        <v>0.85</v>
      </c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7"/>
      <c r="Q190" s="164"/>
    </row>
    <row r="191" spans="1:17" s="168" customFormat="1" ht="16.5" customHeight="1" x14ac:dyDescent="0.2">
      <c r="A191" s="64">
        <v>0.32390000000000002</v>
      </c>
      <c r="B191" s="64">
        <v>0.30259999999999998</v>
      </c>
      <c r="C191" s="65">
        <v>0.86</v>
      </c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7"/>
      <c r="Q191" s="164"/>
    </row>
    <row r="192" spans="1:17" s="168" customFormat="1" ht="16.5" customHeight="1" x14ac:dyDescent="0.2">
      <c r="A192" s="64">
        <v>0.32640000000000002</v>
      </c>
      <c r="B192" s="64">
        <v>0.30180000000000001</v>
      </c>
      <c r="C192" s="65">
        <v>0.87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7"/>
      <c r="Q192" s="164"/>
    </row>
    <row r="193" spans="1:3" s="168" customFormat="1" ht="16.5" customHeight="1" x14ac:dyDescent="0.2">
      <c r="A193" s="64">
        <v>0.3286</v>
      </c>
      <c r="B193" s="64">
        <v>0.30070000000000002</v>
      </c>
      <c r="C193" s="65">
        <v>0.88</v>
      </c>
    </row>
    <row r="194" spans="1:3" s="168" customFormat="1" ht="16.5" customHeight="1" x14ac:dyDescent="0.2">
      <c r="A194" s="64">
        <v>0.33050000000000002</v>
      </c>
      <c r="B194" s="64">
        <v>0.29949999999999999</v>
      </c>
      <c r="C194" s="65">
        <v>0.89</v>
      </c>
    </row>
    <row r="195" spans="1:3" s="168" customFormat="1" ht="16.5" customHeight="1" x14ac:dyDescent="0.2">
      <c r="A195" s="64">
        <v>0.3322</v>
      </c>
      <c r="B195" s="64">
        <v>0.29799999999999999</v>
      </c>
      <c r="C195" s="65">
        <v>0.9</v>
      </c>
    </row>
    <row r="196" spans="1:3" s="168" customFormat="1" ht="16.5" customHeight="1" x14ac:dyDescent="0.2">
      <c r="A196" s="64">
        <v>0.33350000000000002</v>
      </c>
      <c r="B196" s="64">
        <v>0.29630000000000001</v>
      </c>
      <c r="C196" s="65">
        <v>0.91</v>
      </c>
    </row>
    <row r="197" spans="1:3" s="168" customFormat="1" ht="16.5" customHeight="1" x14ac:dyDescent="0.2">
      <c r="A197" s="64">
        <v>0.33450000000000002</v>
      </c>
      <c r="B197" s="64">
        <v>0.2944</v>
      </c>
      <c r="C197" s="65">
        <v>0.92</v>
      </c>
    </row>
    <row r="198" spans="1:3" s="168" customFormat="1" ht="16.5" customHeight="1" x14ac:dyDescent="0.2">
      <c r="A198" s="64">
        <v>0.33510000000000001</v>
      </c>
      <c r="B198" s="64">
        <v>0.29210000000000003</v>
      </c>
      <c r="C198" s="65">
        <v>0.93</v>
      </c>
    </row>
    <row r="199" spans="1:3" s="168" customFormat="1" ht="16.5" customHeight="1" x14ac:dyDescent="0.2">
      <c r="A199" s="64">
        <v>0.33529999999999999</v>
      </c>
      <c r="B199" s="64">
        <v>0.28949999999999998</v>
      </c>
      <c r="C199" s="65">
        <v>0.94</v>
      </c>
    </row>
    <row r="200" spans="1:3" s="168" customFormat="1" ht="16.5" customHeight="1" x14ac:dyDescent="0.2">
      <c r="A200" s="64">
        <v>0.33489999999999998</v>
      </c>
      <c r="B200" s="64">
        <v>0.28649999999999998</v>
      </c>
      <c r="C200" s="65">
        <v>0.95</v>
      </c>
    </row>
    <row r="201" spans="1:3" s="168" customFormat="1" ht="16.5" customHeight="1" x14ac:dyDescent="0.2">
      <c r="A201" s="64">
        <v>0.33389999999999997</v>
      </c>
      <c r="B201" s="64">
        <v>0.28289999999999998</v>
      </c>
      <c r="C201" s="65">
        <v>0.96</v>
      </c>
    </row>
    <row r="202" spans="1:3" s="168" customFormat="1" ht="16.5" customHeight="1" x14ac:dyDescent="0.2">
      <c r="A202" s="64">
        <v>0.32219999999999999</v>
      </c>
      <c r="B202" s="64">
        <v>0.2787</v>
      </c>
      <c r="C202" s="65">
        <v>0.97</v>
      </c>
    </row>
    <row r="203" spans="1:3" s="168" customFormat="1" ht="16.5" customHeight="1" x14ac:dyDescent="0.2">
      <c r="A203" s="64">
        <v>0.32940000000000003</v>
      </c>
      <c r="B203" s="64">
        <v>0.27350000000000002</v>
      </c>
      <c r="C203" s="65">
        <v>0.98</v>
      </c>
    </row>
    <row r="204" spans="1:3" s="168" customFormat="1" ht="16.5" customHeight="1" x14ac:dyDescent="0.2">
      <c r="A204" s="64">
        <v>0.32479999999999998</v>
      </c>
      <c r="B204" s="64">
        <v>0.2666</v>
      </c>
      <c r="C204" s="65">
        <v>0.99</v>
      </c>
    </row>
    <row r="205" spans="1:3" s="168" customFormat="1" ht="16.5" customHeight="1" x14ac:dyDescent="0.2">
      <c r="A205" s="64">
        <v>0.31169999999999998</v>
      </c>
      <c r="B205" s="64">
        <v>0.25</v>
      </c>
      <c r="C205" s="65">
        <v>1</v>
      </c>
    </row>
  </sheetData>
  <mergeCells count="88">
    <mergeCell ref="A97:A98"/>
    <mergeCell ref="B97:C97"/>
    <mergeCell ref="A104:C104"/>
    <mergeCell ref="BD46:BF46"/>
    <mergeCell ref="BD50:BF50"/>
    <mergeCell ref="BD51:BF51"/>
    <mergeCell ref="BD52:BF52"/>
    <mergeCell ref="BD55:BF55"/>
    <mergeCell ref="BD56:BF56"/>
    <mergeCell ref="BD47:BF47"/>
    <mergeCell ref="BD48:BF48"/>
    <mergeCell ref="BD49:BF49"/>
    <mergeCell ref="AV37:BI37"/>
    <mergeCell ref="AV38:AW39"/>
    <mergeCell ref="BD42:BF42"/>
    <mergeCell ref="BD43:BF43"/>
    <mergeCell ref="BD44:BF44"/>
    <mergeCell ref="BD45:BF45"/>
    <mergeCell ref="DF11:DF12"/>
    <mergeCell ref="DG11:DG12"/>
    <mergeCell ref="DH11:DH12"/>
    <mergeCell ref="A14:A24"/>
    <mergeCell ref="AV34:AW34"/>
    <mergeCell ref="AV35:AW35"/>
    <mergeCell ref="CK11:CO11"/>
    <mergeCell ref="CP11:DA11"/>
    <mergeCell ref="DB11:DB12"/>
    <mergeCell ref="DC11:DC12"/>
    <mergeCell ref="DD11:DD12"/>
    <mergeCell ref="DE11:DE12"/>
    <mergeCell ref="BH11:BI11"/>
    <mergeCell ref="BJ11:BK11"/>
    <mergeCell ref="BL11:BW11"/>
    <mergeCell ref="BX11:CB11"/>
    <mergeCell ref="CC11:CH11"/>
    <mergeCell ref="CI11:CJ11"/>
    <mergeCell ref="AW11:AW12"/>
    <mergeCell ref="AY11:BB11"/>
    <mergeCell ref="BC11:BD11"/>
    <mergeCell ref="BE11:BE12"/>
    <mergeCell ref="BF11:BF12"/>
    <mergeCell ref="BG11:BG12"/>
    <mergeCell ref="AV11:AV12"/>
    <mergeCell ref="AF11:AF12"/>
    <mergeCell ref="AG11:AG12"/>
    <mergeCell ref="AH11:AH12"/>
    <mergeCell ref="AI11:AI12"/>
    <mergeCell ref="AJ11:AJ12"/>
    <mergeCell ref="AK11:AL11"/>
    <mergeCell ref="AM11:AN11"/>
    <mergeCell ref="AO11:AP11"/>
    <mergeCell ref="AQ11:AR11"/>
    <mergeCell ref="AS11:AT11"/>
    <mergeCell ref="AU11:AU12"/>
    <mergeCell ref="AE11:AE12"/>
    <mergeCell ref="T11:T12"/>
    <mergeCell ref="U11:U12"/>
    <mergeCell ref="V11:V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S11:S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B4:E4"/>
    <mergeCell ref="B5:E5"/>
    <mergeCell ref="G5:I5"/>
    <mergeCell ref="B10:AT10"/>
    <mergeCell ref="AV10:DH10"/>
    <mergeCell ref="B11:B12"/>
    <mergeCell ref="C11:C12"/>
    <mergeCell ref="D11:E11"/>
    <mergeCell ref="F11:F12"/>
    <mergeCell ref="G11:G12"/>
  </mergeCells>
  <conditionalFormatting sqref="P14:P25">
    <cfRule type="cellIs" dxfId="7" priority="3" operator="greaterThan">
      <formula>0.05</formula>
    </cfRule>
    <cfRule type="cellIs" dxfId="6" priority="4" operator="lessThan">
      <formula>0.001</formula>
    </cfRule>
  </conditionalFormatting>
  <conditionalFormatting sqref="AA14:AA25">
    <cfRule type="cellIs" dxfId="5" priority="6" operator="greaterThan">
      <formula>"s14"</formula>
    </cfRule>
  </conditionalFormatting>
  <conditionalFormatting sqref="AB14:AB25">
    <cfRule type="cellIs" dxfId="4" priority="1" operator="lessThan">
      <formula>1</formula>
    </cfRule>
    <cfRule type="cellIs" dxfId="3" priority="2" operator="greaterThan">
      <formula>5</formula>
    </cfRule>
  </conditionalFormatting>
  <conditionalFormatting sqref="AJ14:AJ25">
    <cfRule type="cellIs" dxfId="2" priority="7" operator="lessThan">
      <formula>$K14</formula>
    </cfRule>
  </conditionalFormatting>
  <conditionalFormatting sqref="AS14:AT25">
    <cfRule type="cellIs" dxfId="1" priority="5" operator="lessThan">
      <formula>0.5</formula>
    </cfRule>
  </conditionalFormatting>
  <printOptions horizontalCentered="1"/>
  <pageMargins left="0.51181102362204722" right="0.51181102362204722" top="0.98425196850393704" bottom="0.98425196850393704" header="0.31496062992125984" footer="0.51181102362204722"/>
  <pageSetup paperSize="9" scale="43" fitToHeight="0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B2:I18"/>
  <sheetViews>
    <sheetView view="pageBreakPreview" zoomScale="115" zoomScaleNormal="100" zoomScaleSheetLayoutView="115" workbookViewId="0">
      <selection activeCell="G18" sqref="G18"/>
    </sheetView>
  </sheetViews>
  <sheetFormatPr defaultRowHeight="12.75" x14ac:dyDescent="0.2"/>
  <cols>
    <col min="1" max="1" width="20.6640625" style="1" customWidth="1"/>
    <col min="2" max="2" width="35.5" style="1" customWidth="1"/>
    <col min="3" max="4" width="13.1640625" style="1" customWidth="1"/>
    <col min="5" max="5" width="17" style="1" customWidth="1"/>
    <col min="6" max="6" width="20.83203125" style="1" customWidth="1"/>
    <col min="7" max="9" width="18" style="1" customWidth="1"/>
    <col min="10" max="243" width="9.33203125" style="1"/>
    <col min="244" max="244" width="2.6640625" style="1" customWidth="1"/>
    <col min="245" max="245" width="5" style="1" customWidth="1"/>
    <col min="246" max="246" width="43.1640625" style="1" customWidth="1"/>
    <col min="247" max="247" width="14.83203125" style="1" customWidth="1"/>
    <col min="248" max="248" width="0" style="1" hidden="1" customWidth="1"/>
    <col min="249" max="249" width="14.6640625" style="1" customWidth="1"/>
    <col min="250" max="250" width="11.33203125" style="1" customWidth="1"/>
    <col min="251" max="251" width="13.33203125" style="1" customWidth="1"/>
    <col min="252" max="252" width="9.6640625" style="1" customWidth="1"/>
    <col min="253" max="253" width="17.1640625" style="1" customWidth="1"/>
    <col min="254" max="254" width="8.83203125" style="1" customWidth="1"/>
    <col min="255" max="255" width="10.83203125" style="1" customWidth="1"/>
    <col min="256" max="256" width="11.6640625" style="1" customWidth="1"/>
    <col min="257" max="257" width="12.6640625" style="1" customWidth="1"/>
    <col min="258" max="258" width="13.33203125" style="1" customWidth="1"/>
    <col min="259" max="259" width="10.1640625" style="1" customWidth="1"/>
    <col min="260" max="260" width="11.5" style="1" customWidth="1"/>
    <col min="261" max="262" width="12" style="1" customWidth="1"/>
    <col min="263" max="263" width="9.6640625" style="1" customWidth="1"/>
    <col min="264" max="264" width="2.5" style="1" customWidth="1"/>
    <col min="265" max="499" width="9.33203125" style="1"/>
    <col min="500" max="500" width="2.6640625" style="1" customWidth="1"/>
    <col min="501" max="501" width="5" style="1" customWidth="1"/>
    <col min="502" max="502" width="43.1640625" style="1" customWidth="1"/>
    <col min="503" max="503" width="14.83203125" style="1" customWidth="1"/>
    <col min="504" max="504" width="0" style="1" hidden="1" customWidth="1"/>
    <col min="505" max="505" width="14.6640625" style="1" customWidth="1"/>
    <col min="506" max="506" width="11.33203125" style="1" customWidth="1"/>
    <col min="507" max="507" width="13.33203125" style="1" customWidth="1"/>
    <col min="508" max="508" width="9.6640625" style="1" customWidth="1"/>
    <col min="509" max="509" width="17.1640625" style="1" customWidth="1"/>
    <col min="510" max="510" width="8.83203125" style="1" customWidth="1"/>
    <col min="511" max="511" width="10.83203125" style="1" customWidth="1"/>
    <col min="512" max="512" width="11.6640625" style="1" customWidth="1"/>
    <col min="513" max="513" width="12.6640625" style="1" customWidth="1"/>
    <col min="514" max="514" width="13.33203125" style="1" customWidth="1"/>
    <col min="515" max="515" width="10.1640625" style="1" customWidth="1"/>
    <col min="516" max="516" width="11.5" style="1" customWidth="1"/>
    <col min="517" max="518" width="12" style="1" customWidth="1"/>
    <col min="519" max="519" width="9.6640625" style="1" customWidth="1"/>
    <col min="520" max="520" width="2.5" style="1" customWidth="1"/>
    <col min="521" max="755" width="9.33203125" style="1"/>
    <col min="756" max="756" width="2.6640625" style="1" customWidth="1"/>
    <col min="757" max="757" width="5" style="1" customWidth="1"/>
    <col min="758" max="758" width="43.1640625" style="1" customWidth="1"/>
    <col min="759" max="759" width="14.83203125" style="1" customWidth="1"/>
    <col min="760" max="760" width="0" style="1" hidden="1" customWidth="1"/>
    <col min="761" max="761" width="14.6640625" style="1" customWidth="1"/>
    <col min="762" max="762" width="11.33203125" style="1" customWidth="1"/>
    <col min="763" max="763" width="13.33203125" style="1" customWidth="1"/>
    <col min="764" max="764" width="9.6640625" style="1" customWidth="1"/>
    <col min="765" max="765" width="17.1640625" style="1" customWidth="1"/>
    <col min="766" max="766" width="8.83203125" style="1" customWidth="1"/>
    <col min="767" max="767" width="10.83203125" style="1" customWidth="1"/>
    <col min="768" max="768" width="11.6640625" style="1" customWidth="1"/>
    <col min="769" max="769" width="12.6640625" style="1" customWidth="1"/>
    <col min="770" max="770" width="13.33203125" style="1" customWidth="1"/>
    <col min="771" max="771" width="10.1640625" style="1" customWidth="1"/>
    <col min="772" max="772" width="11.5" style="1" customWidth="1"/>
    <col min="773" max="774" width="12" style="1" customWidth="1"/>
    <col min="775" max="775" width="9.6640625" style="1" customWidth="1"/>
    <col min="776" max="776" width="2.5" style="1" customWidth="1"/>
    <col min="777" max="1011" width="9.33203125" style="1"/>
    <col min="1012" max="1012" width="2.6640625" style="1" customWidth="1"/>
    <col min="1013" max="1013" width="5" style="1" customWidth="1"/>
    <col min="1014" max="1014" width="43.1640625" style="1" customWidth="1"/>
    <col min="1015" max="1015" width="14.83203125" style="1" customWidth="1"/>
    <col min="1016" max="1016" width="0" style="1" hidden="1" customWidth="1"/>
    <col min="1017" max="1017" width="14.6640625" style="1" customWidth="1"/>
    <col min="1018" max="1018" width="11.33203125" style="1" customWidth="1"/>
    <col min="1019" max="1019" width="13.33203125" style="1" customWidth="1"/>
    <col min="1020" max="1020" width="9.6640625" style="1" customWidth="1"/>
    <col min="1021" max="1021" width="17.1640625" style="1" customWidth="1"/>
    <col min="1022" max="1022" width="8.83203125" style="1" customWidth="1"/>
    <col min="1023" max="1023" width="10.83203125" style="1" customWidth="1"/>
    <col min="1024" max="1024" width="11.6640625" style="1" customWidth="1"/>
    <col min="1025" max="1025" width="12.6640625" style="1" customWidth="1"/>
    <col min="1026" max="1026" width="13.33203125" style="1" customWidth="1"/>
    <col min="1027" max="1027" width="10.1640625" style="1" customWidth="1"/>
    <col min="1028" max="1028" width="11.5" style="1" customWidth="1"/>
    <col min="1029" max="1030" width="12" style="1" customWidth="1"/>
    <col min="1031" max="1031" width="9.6640625" style="1" customWidth="1"/>
    <col min="1032" max="1032" width="2.5" style="1" customWidth="1"/>
    <col min="1033" max="1267" width="9.33203125" style="1"/>
    <col min="1268" max="1268" width="2.6640625" style="1" customWidth="1"/>
    <col min="1269" max="1269" width="5" style="1" customWidth="1"/>
    <col min="1270" max="1270" width="43.1640625" style="1" customWidth="1"/>
    <col min="1271" max="1271" width="14.83203125" style="1" customWidth="1"/>
    <col min="1272" max="1272" width="0" style="1" hidden="1" customWidth="1"/>
    <col min="1273" max="1273" width="14.6640625" style="1" customWidth="1"/>
    <col min="1274" max="1274" width="11.33203125" style="1" customWidth="1"/>
    <col min="1275" max="1275" width="13.33203125" style="1" customWidth="1"/>
    <col min="1276" max="1276" width="9.6640625" style="1" customWidth="1"/>
    <col min="1277" max="1277" width="17.1640625" style="1" customWidth="1"/>
    <col min="1278" max="1278" width="8.83203125" style="1" customWidth="1"/>
    <col min="1279" max="1279" width="10.83203125" style="1" customWidth="1"/>
    <col min="1280" max="1280" width="11.6640625" style="1" customWidth="1"/>
    <col min="1281" max="1281" width="12.6640625" style="1" customWidth="1"/>
    <col min="1282" max="1282" width="13.33203125" style="1" customWidth="1"/>
    <col min="1283" max="1283" width="10.1640625" style="1" customWidth="1"/>
    <col min="1284" max="1284" width="11.5" style="1" customWidth="1"/>
    <col min="1285" max="1286" width="12" style="1" customWidth="1"/>
    <col min="1287" max="1287" width="9.6640625" style="1" customWidth="1"/>
    <col min="1288" max="1288" width="2.5" style="1" customWidth="1"/>
    <col min="1289" max="1523" width="9.33203125" style="1"/>
    <col min="1524" max="1524" width="2.6640625" style="1" customWidth="1"/>
    <col min="1525" max="1525" width="5" style="1" customWidth="1"/>
    <col min="1526" max="1526" width="43.1640625" style="1" customWidth="1"/>
    <col min="1527" max="1527" width="14.83203125" style="1" customWidth="1"/>
    <col min="1528" max="1528" width="0" style="1" hidden="1" customWidth="1"/>
    <col min="1529" max="1529" width="14.6640625" style="1" customWidth="1"/>
    <col min="1530" max="1530" width="11.33203125" style="1" customWidth="1"/>
    <col min="1531" max="1531" width="13.33203125" style="1" customWidth="1"/>
    <col min="1532" max="1532" width="9.6640625" style="1" customWidth="1"/>
    <col min="1533" max="1533" width="17.1640625" style="1" customWidth="1"/>
    <col min="1534" max="1534" width="8.83203125" style="1" customWidth="1"/>
    <col min="1535" max="1535" width="10.83203125" style="1" customWidth="1"/>
    <col min="1536" max="1536" width="11.6640625" style="1" customWidth="1"/>
    <col min="1537" max="1537" width="12.6640625" style="1" customWidth="1"/>
    <col min="1538" max="1538" width="13.33203125" style="1" customWidth="1"/>
    <col min="1539" max="1539" width="10.1640625" style="1" customWidth="1"/>
    <col min="1540" max="1540" width="11.5" style="1" customWidth="1"/>
    <col min="1541" max="1542" width="12" style="1" customWidth="1"/>
    <col min="1543" max="1543" width="9.6640625" style="1" customWidth="1"/>
    <col min="1544" max="1544" width="2.5" style="1" customWidth="1"/>
    <col min="1545" max="1779" width="9.33203125" style="1"/>
    <col min="1780" max="1780" width="2.6640625" style="1" customWidth="1"/>
    <col min="1781" max="1781" width="5" style="1" customWidth="1"/>
    <col min="1782" max="1782" width="43.1640625" style="1" customWidth="1"/>
    <col min="1783" max="1783" width="14.83203125" style="1" customWidth="1"/>
    <col min="1784" max="1784" width="0" style="1" hidden="1" customWidth="1"/>
    <col min="1785" max="1785" width="14.6640625" style="1" customWidth="1"/>
    <col min="1786" max="1786" width="11.33203125" style="1" customWidth="1"/>
    <col min="1787" max="1787" width="13.33203125" style="1" customWidth="1"/>
    <col min="1788" max="1788" width="9.6640625" style="1" customWidth="1"/>
    <col min="1789" max="1789" width="17.1640625" style="1" customWidth="1"/>
    <col min="1790" max="1790" width="8.83203125" style="1" customWidth="1"/>
    <col min="1791" max="1791" width="10.83203125" style="1" customWidth="1"/>
    <col min="1792" max="1792" width="11.6640625" style="1" customWidth="1"/>
    <col min="1793" max="1793" width="12.6640625" style="1" customWidth="1"/>
    <col min="1794" max="1794" width="13.33203125" style="1" customWidth="1"/>
    <col min="1795" max="1795" width="10.1640625" style="1" customWidth="1"/>
    <col min="1796" max="1796" width="11.5" style="1" customWidth="1"/>
    <col min="1797" max="1798" width="12" style="1" customWidth="1"/>
    <col min="1799" max="1799" width="9.6640625" style="1" customWidth="1"/>
    <col min="1800" max="1800" width="2.5" style="1" customWidth="1"/>
    <col min="1801" max="2035" width="9.33203125" style="1"/>
    <col min="2036" max="2036" width="2.6640625" style="1" customWidth="1"/>
    <col min="2037" max="2037" width="5" style="1" customWidth="1"/>
    <col min="2038" max="2038" width="43.1640625" style="1" customWidth="1"/>
    <col min="2039" max="2039" width="14.83203125" style="1" customWidth="1"/>
    <col min="2040" max="2040" width="0" style="1" hidden="1" customWidth="1"/>
    <col min="2041" max="2041" width="14.6640625" style="1" customWidth="1"/>
    <col min="2042" max="2042" width="11.33203125" style="1" customWidth="1"/>
    <col min="2043" max="2043" width="13.33203125" style="1" customWidth="1"/>
    <col min="2044" max="2044" width="9.6640625" style="1" customWidth="1"/>
    <col min="2045" max="2045" width="17.1640625" style="1" customWidth="1"/>
    <col min="2046" max="2046" width="8.83203125" style="1" customWidth="1"/>
    <col min="2047" max="2047" width="10.83203125" style="1" customWidth="1"/>
    <col min="2048" max="2048" width="11.6640625" style="1" customWidth="1"/>
    <col min="2049" max="2049" width="12.6640625" style="1" customWidth="1"/>
    <col min="2050" max="2050" width="13.33203125" style="1" customWidth="1"/>
    <col min="2051" max="2051" width="10.1640625" style="1" customWidth="1"/>
    <col min="2052" max="2052" width="11.5" style="1" customWidth="1"/>
    <col min="2053" max="2054" width="12" style="1" customWidth="1"/>
    <col min="2055" max="2055" width="9.6640625" style="1" customWidth="1"/>
    <col min="2056" max="2056" width="2.5" style="1" customWidth="1"/>
    <col min="2057" max="2291" width="9.33203125" style="1"/>
    <col min="2292" max="2292" width="2.6640625" style="1" customWidth="1"/>
    <col min="2293" max="2293" width="5" style="1" customWidth="1"/>
    <col min="2294" max="2294" width="43.1640625" style="1" customWidth="1"/>
    <col min="2295" max="2295" width="14.83203125" style="1" customWidth="1"/>
    <col min="2296" max="2296" width="0" style="1" hidden="1" customWidth="1"/>
    <col min="2297" max="2297" width="14.6640625" style="1" customWidth="1"/>
    <col min="2298" max="2298" width="11.33203125" style="1" customWidth="1"/>
    <col min="2299" max="2299" width="13.33203125" style="1" customWidth="1"/>
    <col min="2300" max="2300" width="9.6640625" style="1" customWidth="1"/>
    <col min="2301" max="2301" width="17.1640625" style="1" customWidth="1"/>
    <col min="2302" max="2302" width="8.83203125" style="1" customWidth="1"/>
    <col min="2303" max="2303" width="10.83203125" style="1" customWidth="1"/>
    <col min="2304" max="2304" width="11.6640625" style="1" customWidth="1"/>
    <col min="2305" max="2305" width="12.6640625" style="1" customWidth="1"/>
    <col min="2306" max="2306" width="13.33203125" style="1" customWidth="1"/>
    <col min="2307" max="2307" width="10.1640625" style="1" customWidth="1"/>
    <col min="2308" max="2308" width="11.5" style="1" customWidth="1"/>
    <col min="2309" max="2310" width="12" style="1" customWidth="1"/>
    <col min="2311" max="2311" width="9.6640625" style="1" customWidth="1"/>
    <col min="2312" max="2312" width="2.5" style="1" customWidth="1"/>
    <col min="2313" max="2547" width="9.33203125" style="1"/>
    <col min="2548" max="2548" width="2.6640625" style="1" customWidth="1"/>
    <col min="2549" max="2549" width="5" style="1" customWidth="1"/>
    <col min="2550" max="2550" width="43.1640625" style="1" customWidth="1"/>
    <col min="2551" max="2551" width="14.83203125" style="1" customWidth="1"/>
    <col min="2552" max="2552" width="0" style="1" hidden="1" customWidth="1"/>
    <col min="2553" max="2553" width="14.6640625" style="1" customWidth="1"/>
    <col min="2554" max="2554" width="11.33203125" style="1" customWidth="1"/>
    <col min="2555" max="2555" width="13.33203125" style="1" customWidth="1"/>
    <col min="2556" max="2556" width="9.6640625" style="1" customWidth="1"/>
    <col min="2557" max="2557" width="17.1640625" style="1" customWidth="1"/>
    <col min="2558" max="2558" width="8.83203125" style="1" customWidth="1"/>
    <col min="2559" max="2559" width="10.83203125" style="1" customWidth="1"/>
    <col min="2560" max="2560" width="11.6640625" style="1" customWidth="1"/>
    <col min="2561" max="2561" width="12.6640625" style="1" customWidth="1"/>
    <col min="2562" max="2562" width="13.33203125" style="1" customWidth="1"/>
    <col min="2563" max="2563" width="10.1640625" style="1" customWidth="1"/>
    <col min="2564" max="2564" width="11.5" style="1" customWidth="1"/>
    <col min="2565" max="2566" width="12" style="1" customWidth="1"/>
    <col min="2567" max="2567" width="9.6640625" style="1" customWidth="1"/>
    <col min="2568" max="2568" width="2.5" style="1" customWidth="1"/>
    <col min="2569" max="2803" width="9.33203125" style="1"/>
    <col min="2804" max="2804" width="2.6640625" style="1" customWidth="1"/>
    <col min="2805" max="2805" width="5" style="1" customWidth="1"/>
    <col min="2806" max="2806" width="43.1640625" style="1" customWidth="1"/>
    <col min="2807" max="2807" width="14.83203125" style="1" customWidth="1"/>
    <col min="2808" max="2808" width="0" style="1" hidden="1" customWidth="1"/>
    <col min="2809" max="2809" width="14.6640625" style="1" customWidth="1"/>
    <col min="2810" max="2810" width="11.33203125" style="1" customWidth="1"/>
    <col min="2811" max="2811" width="13.33203125" style="1" customWidth="1"/>
    <col min="2812" max="2812" width="9.6640625" style="1" customWidth="1"/>
    <col min="2813" max="2813" width="17.1640625" style="1" customWidth="1"/>
    <col min="2814" max="2814" width="8.83203125" style="1" customWidth="1"/>
    <col min="2815" max="2815" width="10.83203125" style="1" customWidth="1"/>
    <col min="2816" max="2816" width="11.6640625" style="1" customWidth="1"/>
    <col min="2817" max="2817" width="12.6640625" style="1" customWidth="1"/>
    <col min="2818" max="2818" width="13.33203125" style="1" customWidth="1"/>
    <col min="2819" max="2819" width="10.1640625" style="1" customWidth="1"/>
    <col min="2820" max="2820" width="11.5" style="1" customWidth="1"/>
    <col min="2821" max="2822" width="12" style="1" customWidth="1"/>
    <col min="2823" max="2823" width="9.6640625" style="1" customWidth="1"/>
    <col min="2824" max="2824" width="2.5" style="1" customWidth="1"/>
    <col min="2825" max="3059" width="9.33203125" style="1"/>
    <col min="3060" max="3060" width="2.6640625" style="1" customWidth="1"/>
    <col min="3061" max="3061" width="5" style="1" customWidth="1"/>
    <col min="3062" max="3062" width="43.1640625" style="1" customWidth="1"/>
    <col min="3063" max="3063" width="14.83203125" style="1" customWidth="1"/>
    <col min="3064" max="3064" width="0" style="1" hidden="1" customWidth="1"/>
    <col min="3065" max="3065" width="14.6640625" style="1" customWidth="1"/>
    <col min="3066" max="3066" width="11.33203125" style="1" customWidth="1"/>
    <col min="3067" max="3067" width="13.33203125" style="1" customWidth="1"/>
    <col min="3068" max="3068" width="9.6640625" style="1" customWidth="1"/>
    <col min="3069" max="3069" width="17.1640625" style="1" customWidth="1"/>
    <col min="3070" max="3070" width="8.83203125" style="1" customWidth="1"/>
    <col min="3071" max="3071" width="10.83203125" style="1" customWidth="1"/>
    <col min="3072" max="3072" width="11.6640625" style="1" customWidth="1"/>
    <col min="3073" max="3073" width="12.6640625" style="1" customWidth="1"/>
    <col min="3074" max="3074" width="13.33203125" style="1" customWidth="1"/>
    <col min="3075" max="3075" width="10.1640625" style="1" customWidth="1"/>
    <col min="3076" max="3076" width="11.5" style="1" customWidth="1"/>
    <col min="3077" max="3078" width="12" style="1" customWidth="1"/>
    <col min="3079" max="3079" width="9.6640625" style="1" customWidth="1"/>
    <col min="3080" max="3080" width="2.5" style="1" customWidth="1"/>
    <col min="3081" max="3315" width="9.33203125" style="1"/>
    <col min="3316" max="3316" width="2.6640625" style="1" customWidth="1"/>
    <col min="3317" max="3317" width="5" style="1" customWidth="1"/>
    <col min="3318" max="3318" width="43.1640625" style="1" customWidth="1"/>
    <col min="3319" max="3319" width="14.83203125" style="1" customWidth="1"/>
    <col min="3320" max="3320" width="0" style="1" hidden="1" customWidth="1"/>
    <col min="3321" max="3321" width="14.6640625" style="1" customWidth="1"/>
    <col min="3322" max="3322" width="11.33203125" style="1" customWidth="1"/>
    <col min="3323" max="3323" width="13.33203125" style="1" customWidth="1"/>
    <col min="3324" max="3324" width="9.6640625" style="1" customWidth="1"/>
    <col min="3325" max="3325" width="17.1640625" style="1" customWidth="1"/>
    <col min="3326" max="3326" width="8.83203125" style="1" customWidth="1"/>
    <col min="3327" max="3327" width="10.83203125" style="1" customWidth="1"/>
    <col min="3328" max="3328" width="11.6640625" style="1" customWidth="1"/>
    <col min="3329" max="3329" width="12.6640625" style="1" customWidth="1"/>
    <col min="3330" max="3330" width="13.33203125" style="1" customWidth="1"/>
    <col min="3331" max="3331" width="10.1640625" style="1" customWidth="1"/>
    <col min="3332" max="3332" width="11.5" style="1" customWidth="1"/>
    <col min="3333" max="3334" width="12" style="1" customWidth="1"/>
    <col min="3335" max="3335" width="9.6640625" style="1" customWidth="1"/>
    <col min="3336" max="3336" width="2.5" style="1" customWidth="1"/>
    <col min="3337" max="3571" width="9.33203125" style="1"/>
    <col min="3572" max="3572" width="2.6640625" style="1" customWidth="1"/>
    <col min="3573" max="3573" width="5" style="1" customWidth="1"/>
    <col min="3574" max="3574" width="43.1640625" style="1" customWidth="1"/>
    <col min="3575" max="3575" width="14.83203125" style="1" customWidth="1"/>
    <col min="3576" max="3576" width="0" style="1" hidden="1" customWidth="1"/>
    <col min="3577" max="3577" width="14.6640625" style="1" customWidth="1"/>
    <col min="3578" max="3578" width="11.33203125" style="1" customWidth="1"/>
    <col min="3579" max="3579" width="13.33203125" style="1" customWidth="1"/>
    <col min="3580" max="3580" width="9.6640625" style="1" customWidth="1"/>
    <col min="3581" max="3581" width="17.1640625" style="1" customWidth="1"/>
    <col min="3582" max="3582" width="8.83203125" style="1" customWidth="1"/>
    <col min="3583" max="3583" width="10.83203125" style="1" customWidth="1"/>
    <col min="3584" max="3584" width="11.6640625" style="1" customWidth="1"/>
    <col min="3585" max="3585" width="12.6640625" style="1" customWidth="1"/>
    <col min="3586" max="3586" width="13.33203125" style="1" customWidth="1"/>
    <col min="3587" max="3587" width="10.1640625" style="1" customWidth="1"/>
    <col min="3588" max="3588" width="11.5" style="1" customWidth="1"/>
    <col min="3589" max="3590" width="12" style="1" customWidth="1"/>
    <col min="3591" max="3591" width="9.6640625" style="1" customWidth="1"/>
    <col min="3592" max="3592" width="2.5" style="1" customWidth="1"/>
    <col min="3593" max="3827" width="9.33203125" style="1"/>
    <col min="3828" max="3828" width="2.6640625" style="1" customWidth="1"/>
    <col min="3829" max="3829" width="5" style="1" customWidth="1"/>
    <col min="3830" max="3830" width="43.1640625" style="1" customWidth="1"/>
    <col min="3831" max="3831" width="14.83203125" style="1" customWidth="1"/>
    <col min="3832" max="3832" width="0" style="1" hidden="1" customWidth="1"/>
    <col min="3833" max="3833" width="14.6640625" style="1" customWidth="1"/>
    <col min="3834" max="3834" width="11.33203125" style="1" customWidth="1"/>
    <col min="3835" max="3835" width="13.33203125" style="1" customWidth="1"/>
    <col min="3836" max="3836" width="9.6640625" style="1" customWidth="1"/>
    <col min="3837" max="3837" width="17.1640625" style="1" customWidth="1"/>
    <col min="3838" max="3838" width="8.83203125" style="1" customWidth="1"/>
    <col min="3839" max="3839" width="10.83203125" style="1" customWidth="1"/>
    <col min="3840" max="3840" width="11.6640625" style="1" customWidth="1"/>
    <col min="3841" max="3841" width="12.6640625" style="1" customWidth="1"/>
    <col min="3842" max="3842" width="13.33203125" style="1" customWidth="1"/>
    <col min="3843" max="3843" width="10.1640625" style="1" customWidth="1"/>
    <col min="3844" max="3844" width="11.5" style="1" customWidth="1"/>
    <col min="3845" max="3846" width="12" style="1" customWidth="1"/>
    <col min="3847" max="3847" width="9.6640625" style="1" customWidth="1"/>
    <col min="3848" max="3848" width="2.5" style="1" customWidth="1"/>
    <col min="3849" max="4083" width="9.33203125" style="1"/>
    <col min="4084" max="4084" width="2.6640625" style="1" customWidth="1"/>
    <col min="4085" max="4085" width="5" style="1" customWidth="1"/>
    <col min="4086" max="4086" width="43.1640625" style="1" customWidth="1"/>
    <col min="4087" max="4087" width="14.83203125" style="1" customWidth="1"/>
    <col min="4088" max="4088" width="0" style="1" hidden="1" customWidth="1"/>
    <col min="4089" max="4089" width="14.6640625" style="1" customWidth="1"/>
    <col min="4090" max="4090" width="11.33203125" style="1" customWidth="1"/>
    <col min="4091" max="4091" width="13.33203125" style="1" customWidth="1"/>
    <col min="4092" max="4092" width="9.6640625" style="1" customWidth="1"/>
    <col min="4093" max="4093" width="17.1640625" style="1" customWidth="1"/>
    <col min="4094" max="4094" width="8.83203125" style="1" customWidth="1"/>
    <col min="4095" max="4095" width="10.83203125" style="1" customWidth="1"/>
    <col min="4096" max="4096" width="11.6640625" style="1" customWidth="1"/>
    <col min="4097" max="4097" width="12.6640625" style="1" customWidth="1"/>
    <col min="4098" max="4098" width="13.33203125" style="1" customWidth="1"/>
    <col min="4099" max="4099" width="10.1640625" style="1" customWidth="1"/>
    <col min="4100" max="4100" width="11.5" style="1" customWidth="1"/>
    <col min="4101" max="4102" width="12" style="1" customWidth="1"/>
    <col min="4103" max="4103" width="9.6640625" style="1" customWidth="1"/>
    <col min="4104" max="4104" width="2.5" style="1" customWidth="1"/>
    <col min="4105" max="4339" width="9.33203125" style="1"/>
    <col min="4340" max="4340" width="2.6640625" style="1" customWidth="1"/>
    <col min="4341" max="4341" width="5" style="1" customWidth="1"/>
    <col min="4342" max="4342" width="43.1640625" style="1" customWidth="1"/>
    <col min="4343" max="4343" width="14.83203125" style="1" customWidth="1"/>
    <col min="4344" max="4344" width="0" style="1" hidden="1" customWidth="1"/>
    <col min="4345" max="4345" width="14.6640625" style="1" customWidth="1"/>
    <col min="4346" max="4346" width="11.33203125" style="1" customWidth="1"/>
    <col min="4347" max="4347" width="13.33203125" style="1" customWidth="1"/>
    <col min="4348" max="4348" width="9.6640625" style="1" customWidth="1"/>
    <col min="4349" max="4349" width="17.1640625" style="1" customWidth="1"/>
    <col min="4350" max="4350" width="8.83203125" style="1" customWidth="1"/>
    <col min="4351" max="4351" width="10.83203125" style="1" customWidth="1"/>
    <col min="4352" max="4352" width="11.6640625" style="1" customWidth="1"/>
    <col min="4353" max="4353" width="12.6640625" style="1" customWidth="1"/>
    <col min="4354" max="4354" width="13.33203125" style="1" customWidth="1"/>
    <col min="4355" max="4355" width="10.1640625" style="1" customWidth="1"/>
    <col min="4356" max="4356" width="11.5" style="1" customWidth="1"/>
    <col min="4357" max="4358" width="12" style="1" customWidth="1"/>
    <col min="4359" max="4359" width="9.6640625" style="1" customWidth="1"/>
    <col min="4360" max="4360" width="2.5" style="1" customWidth="1"/>
    <col min="4361" max="4595" width="9.33203125" style="1"/>
    <col min="4596" max="4596" width="2.6640625" style="1" customWidth="1"/>
    <col min="4597" max="4597" width="5" style="1" customWidth="1"/>
    <col min="4598" max="4598" width="43.1640625" style="1" customWidth="1"/>
    <col min="4599" max="4599" width="14.83203125" style="1" customWidth="1"/>
    <col min="4600" max="4600" width="0" style="1" hidden="1" customWidth="1"/>
    <col min="4601" max="4601" width="14.6640625" style="1" customWidth="1"/>
    <col min="4602" max="4602" width="11.33203125" style="1" customWidth="1"/>
    <col min="4603" max="4603" width="13.33203125" style="1" customWidth="1"/>
    <col min="4604" max="4604" width="9.6640625" style="1" customWidth="1"/>
    <col min="4605" max="4605" width="17.1640625" style="1" customWidth="1"/>
    <col min="4606" max="4606" width="8.83203125" style="1" customWidth="1"/>
    <col min="4607" max="4607" width="10.83203125" style="1" customWidth="1"/>
    <col min="4608" max="4608" width="11.6640625" style="1" customWidth="1"/>
    <col min="4609" max="4609" width="12.6640625" style="1" customWidth="1"/>
    <col min="4610" max="4610" width="13.33203125" style="1" customWidth="1"/>
    <col min="4611" max="4611" width="10.1640625" style="1" customWidth="1"/>
    <col min="4612" max="4612" width="11.5" style="1" customWidth="1"/>
    <col min="4613" max="4614" width="12" style="1" customWidth="1"/>
    <col min="4615" max="4615" width="9.6640625" style="1" customWidth="1"/>
    <col min="4616" max="4616" width="2.5" style="1" customWidth="1"/>
    <col min="4617" max="4851" width="9.33203125" style="1"/>
    <col min="4852" max="4852" width="2.6640625" style="1" customWidth="1"/>
    <col min="4853" max="4853" width="5" style="1" customWidth="1"/>
    <col min="4854" max="4854" width="43.1640625" style="1" customWidth="1"/>
    <col min="4855" max="4855" width="14.83203125" style="1" customWidth="1"/>
    <col min="4856" max="4856" width="0" style="1" hidden="1" customWidth="1"/>
    <col min="4857" max="4857" width="14.6640625" style="1" customWidth="1"/>
    <col min="4858" max="4858" width="11.33203125" style="1" customWidth="1"/>
    <col min="4859" max="4859" width="13.33203125" style="1" customWidth="1"/>
    <col min="4860" max="4860" width="9.6640625" style="1" customWidth="1"/>
    <col min="4861" max="4861" width="17.1640625" style="1" customWidth="1"/>
    <col min="4862" max="4862" width="8.83203125" style="1" customWidth="1"/>
    <col min="4863" max="4863" width="10.83203125" style="1" customWidth="1"/>
    <col min="4864" max="4864" width="11.6640625" style="1" customWidth="1"/>
    <col min="4865" max="4865" width="12.6640625" style="1" customWidth="1"/>
    <col min="4866" max="4866" width="13.33203125" style="1" customWidth="1"/>
    <col min="4867" max="4867" width="10.1640625" style="1" customWidth="1"/>
    <col min="4868" max="4868" width="11.5" style="1" customWidth="1"/>
    <col min="4869" max="4870" width="12" style="1" customWidth="1"/>
    <col min="4871" max="4871" width="9.6640625" style="1" customWidth="1"/>
    <col min="4872" max="4872" width="2.5" style="1" customWidth="1"/>
    <col min="4873" max="5107" width="9.33203125" style="1"/>
    <col min="5108" max="5108" width="2.6640625" style="1" customWidth="1"/>
    <col min="5109" max="5109" width="5" style="1" customWidth="1"/>
    <col min="5110" max="5110" width="43.1640625" style="1" customWidth="1"/>
    <col min="5111" max="5111" width="14.83203125" style="1" customWidth="1"/>
    <col min="5112" max="5112" width="0" style="1" hidden="1" customWidth="1"/>
    <col min="5113" max="5113" width="14.6640625" style="1" customWidth="1"/>
    <col min="5114" max="5114" width="11.33203125" style="1" customWidth="1"/>
    <col min="5115" max="5115" width="13.33203125" style="1" customWidth="1"/>
    <col min="5116" max="5116" width="9.6640625" style="1" customWidth="1"/>
    <col min="5117" max="5117" width="17.1640625" style="1" customWidth="1"/>
    <col min="5118" max="5118" width="8.83203125" style="1" customWidth="1"/>
    <col min="5119" max="5119" width="10.83203125" style="1" customWidth="1"/>
    <col min="5120" max="5120" width="11.6640625" style="1" customWidth="1"/>
    <col min="5121" max="5121" width="12.6640625" style="1" customWidth="1"/>
    <col min="5122" max="5122" width="13.33203125" style="1" customWidth="1"/>
    <col min="5123" max="5123" width="10.1640625" style="1" customWidth="1"/>
    <col min="5124" max="5124" width="11.5" style="1" customWidth="1"/>
    <col min="5125" max="5126" width="12" style="1" customWidth="1"/>
    <col min="5127" max="5127" width="9.6640625" style="1" customWidth="1"/>
    <col min="5128" max="5128" width="2.5" style="1" customWidth="1"/>
    <col min="5129" max="5363" width="9.33203125" style="1"/>
    <col min="5364" max="5364" width="2.6640625" style="1" customWidth="1"/>
    <col min="5365" max="5365" width="5" style="1" customWidth="1"/>
    <col min="5366" max="5366" width="43.1640625" style="1" customWidth="1"/>
    <col min="5367" max="5367" width="14.83203125" style="1" customWidth="1"/>
    <col min="5368" max="5368" width="0" style="1" hidden="1" customWidth="1"/>
    <col min="5369" max="5369" width="14.6640625" style="1" customWidth="1"/>
    <col min="5370" max="5370" width="11.33203125" style="1" customWidth="1"/>
    <col min="5371" max="5371" width="13.33203125" style="1" customWidth="1"/>
    <col min="5372" max="5372" width="9.6640625" style="1" customWidth="1"/>
    <col min="5373" max="5373" width="17.1640625" style="1" customWidth="1"/>
    <col min="5374" max="5374" width="8.83203125" style="1" customWidth="1"/>
    <col min="5375" max="5375" width="10.83203125" style="1" customWidth="1"/>
    <col min="5376" max="5376" width="11.6640625" style="1" customWidth="1"/>
    <col min="5377" max="5377" width="12.6640625" style="1" customWidth="1"/>
    <col min="5378" max="5378" width="13.33203125" style="1" customWidth="1"/>
    <col min="5379" max="5379" width="10.1640625" style="1" customWidth="1"/>
    <col min="5380" max="5380" width="11.5" style="1" customWidth="1"/>
    <col min="5381" max="5382" width="12" style="1" customWidth="1"/>
    <col min="5383" max="5383" width="9.6640625" style="1" customWidth="1"/>
    <col min="5384" max="5384" width="2.5" style="1" customWidth="1"/>
    <col min="5385" max="5619" width="9.33203125" style="1"/>
    <col min="5620" max="5620" width="2.6640625" style="1" customWidth="1"/>
    <col min="5621" max="5621" width="5" style="1" customWidth="1"/>
    <col min="5622" max="5622" width="43.1640625" style="1" customWidth="1"/>
    <col min="5623" max="5623" width="14.83203125" style="1" customWidth="1"/>
    <col min="5624" max="5624" width="0" style="1" hidden="1" customWidth="1"/>
    <col min="5625" max="5625" width="14.6640625" style="1" customWidth="1"/>
    <col min="5626" max="5626" width="11.33203125" style="1" customWidth="1"/>
    <col min="5627" max="5627" width="13.33203125" style="1" customWidth="1"/>
    <col min="5628" max="5628" width="9.6640625" style="1" customWidth="1"/>
    <col min="5629" max="5629" width="17.1640625" style="1" customWidth="1"/>
    <col min="5630" max="5630" width="8.83203125" style="1" customWidth="1"/>
    <col min="5631" max="5631" width="10.83203125" style="1" customWidth="1"/>
    <col min="5632" max="5632" width="11.6640625" style="1" customWidth="1"/>
    <col min="5633" max="5633" width="12.6640625" style="1" customWidth="1"/>
    <col min="5634" max="5634" width="13.33203125" style="1" customWidth="1"/>
    <col min="5635" max="5635" width="10.1640625" style="1" customWidth="1"/>
    <col min="5636" max="5636" width="11.5" style="1" customWidth="1"/>
    <col min="5637" max="5638" width="12" style="1" customWidth="1"/>
    <col min="5639" max="5639" width="9.6640625" style="1" customWidth="1"/>
    <col min="5640" max="5640" width="2.5" style="1" customWidth="1"/>
    <col min="5641" max="5875" width="9.33203125" style="1"/>
    <col min="5876" max="5876" width="2.6640625" style="1" customWidth="1"/>
    <col min="5877" max="5877" width="5" style="1" customWidth="1"/>
    <col min="5878" max="5878" width="43.1640625" style="1" customWidth="1"/>
    <col min="5879" max="5879" width="14.83203125" style="1" customWidth="1"/>
    <col min="5880" max="5880" width="0" style="1" hidden="1" customWidth="1"/>
    <col min="5881" max="5881" width="14.6640625" style="1" customWidth="1"/>
    <col min="5882" max="5882" width="11.33203125" style="1" customWidth="1"/>
    <col min="5883" max="5883" width="13.33203125" style="1" customWidth="1"/>
    <col min="5884" max="5884" width="9.6640625" style="1" customWidth="1"/>
    <col min="5885" max="5885" width="17.1640625" style="1" customWidth="1"/>
    <col min="5886" max="5886" width="8.83203125" style="1" customWidth="1"/>
    <col min="5887" max="5887" width="10.83203125" style="1" customWidth="1"/>
    <col min="5888" max="5888" width="11.6640625" style="1" customWidth="1"/>
    <col min="5889" max="5889" width="12.6640625" style="1" customWidth="1"/>
    <col min="5890" max="5890" width="13.33203125" style="1" customWidth="1"/>
    <col min="5891" max="5891" width="10.1640625" style="1" customWidth="1"/>
    <col min="5892" max="5892" width="11.5" style="1" customWidth="1"/>
    <col min="5893" max="5894" width="12" style="1" customWidth="1"/>
    <col min="5895" max="5895" width="9.6640625" style="1" customWidth="1"/>
    <col min="5896" max="5896" width="2.5" style="1" customWidth="1"/>
    <col min="5897" max="6131" width="9.33203125" style="1"/>
    <col min="6132" max="6132" width="2.6640625" style="1" customWidth="1"/>
    <col min="6133" max="6133" width="5" style="1" customWidth="1"/>
    <col min="6134" max="6134" width="43.1640625" style="1" customWidth="1"/>
    <col min="6135" max="6135" width="14.83203125" style="1" customWidth="1"/>
    <col min="6136" max="6136" width="0" style="1" hidden="1" customWidth="1"/>
    <col min="6137" max="6137" width="14.6640625" style="1" customWidth="1"/>
    <col min="6138" max="6138" width="11.33203125" style="1" customWidth="1"/>
    <col min="6139" max="6139" width="13.33203125" style="1" customWidth="1"/>
    <col min="6140" max="6140" width="9.6640625" style="1" customWidth="1"/>
    <col min="6141" max="6141" width="17.1640625" style="1" customWidth="1"/>
    <col min="6142" max="6142" width="8.83203125" style="1" customWidth="1"/>
    <col min="6143" max="6143" width="10.83203125" style="1" customWidth="1"/>
    <col min="6144" max="6144" width="11.6640625" style="1" customWidth="1"/>
    <col min="6145" max="6145" width="12.6640625" style="1" customWidth="1"/>
    <col min="6146" max="6146" width="13.33203125" style="1" customWidth="1"/>
    <col min="6147" max="6147" width="10.1640625" style="1" customWidth="1"/>
    <col min="6148" max="6148" width="11.5" style="1" customWidth="1"/>
    <col min="6149" max="6150" width="12" style="1" customWidth="1"/>
    <col min="6151" max="6151" width="9.6640625" style="1" customWidth="1"/>
    <col min="6152" max="6152" width="2.5" style="1" customWidth="1"/>
    <col min="6153" max="6387" width="9.33203125" style="1"/>
    <col min="6388" max="6388" width="2.6640625" style="1" customWidth="1"/>
    <col min="6389" max="6389" width="5" style="1" customWidth="1"/>
    <col min="6390" max="6390" width="43.1640625" style="1" customWidth="1"/>
    <col min="6391" max="6391" width="14.83203125" style="1" customWidth="1"/>
    <col min="6392" max="6392" width="0" style="1" hidden="1" customWidth="1"/>
    <col min="6393" max="6393" width="14.6640625" style="1" customWidth="1"/>
    <col min="6394" max="6394" width="11.33203125" style="1" customWidth="1"/>
    <col min="6395" max="6395" width="13.33203125" style="1" customWidth="1"/>
    <col min="6396" max="6396" width="9.6640625" style="1" customWidth="1"/>
    <col min="6397" max="6397" width="17.1640625" style="1" customWidth="1"/>
    <col min="6398" max="6398" width="8.83203125" style="1" customWidth="1"/>
    <col min="6399" max="6399" width="10.83203125" style="1" customWidth="1"/>
    <col min="6400" max="6400" width="11.6640625" style="1" customWidth="1"/>
    <col min="6401" max="6401" width="12.6640625" style="1" customWidth="1"/>
    <col min="6402" max="6402" width="13.33203125" style="1" customWidth="1"/>
    <col min="6403" max="6403" width="10.1640625" style="1" customWidth="1"/>
    <col min="6404" max="6404" width="11.5" style="1" customWidth="1"/>
    <col min="6405" max="6406" width="12" style="1" customWidth="1"/>
    <col min="6407" max="6407" width="9.6640625" style="1" customWidth="1"/>
    <col min="6408" max="6408" width="2.5" style="1" customWidth="1"/>
    <col min="6409" max="6643" width="9.33203125" style="1"/>
    <col min="6644" max="6644" width="2.6640625" style="1" customWidth="1"/>
    <col min="6645" max="6645" width="5" style="1" customWidth="1"/>
    <col min="6646" max="6646" width="43.1640625" style="1" customWidth="1"/>
    <col min="6647" max="6647" width="14.83203125" style="1" customWidth="1"/>
    <col min="6648" max="6648" width="0" style="1" hidden="1" customWidth="1"/>
    <col min="6649" max="6649" width="14.6640625" style="1" customWidth="1"/>
    <col min="6650" max="6650" width="11.33203125" style="1" customWidth="1"/>
    <col min="6651" max="6651" width="13.33203125" style="1" customWidth="1"/>
    <col min="6652" max="6652" width="9.6640625" style="1" customWidth="1"/>
    <col min="6653" max="6653" width="17.1640625" style="1" customWidth="1"/>
    <col min="6654" max="6654" width="8.83203125" style="1" customWidth="1"/>
    <col min="6655" max="6655" width="10.83203125" style="1" customWidth="1"/>
    <col min="6656" max="6656" width="11.6640625" style="1" customWidth="1"/>
    <col min="6657" max="6657" width="12.6640625" style="1" customWidth="1"/>
    <col min="6658" max="6658" width="13.33203125" style="1" customWidth="1"/>
    <col min="6659" max="6659" width="10.1640625" style="1" customWidth="1"/>
    <col min="6660" max="6660" width="11.5" style="1" customWidth="1"/>
    <col min="6661" max="6662" width="12" style="1" customWidth="1"/>
    <col min="6663" max="6663" width="9.6640625" style="1" customWidth="1"/>
    <col min="6664" max="6664" width="2.5" style="1" customWidth="1"/>
    <col min="6665" max="6899" width="9.33203125" style="1"/>
    <col min="6900" max="6900" width="2.6640625" style="1" customWidth="1"/>
    <col min="6901" max="6901" width="5" style="1" customWidth="1"/>
    <col min="6902" max="6902" width="43.1640625" style="1" customWidth="1"/>
    <col min="6903" max="6903" width="14.83203125" style="1" customWidth="1"/>
    <col min="6904" max="6904" width="0" style="1" hidden="1" customWidth="1"/>
    <col min="6905" max="6905" width="14.6640625" style="1" customWidth="1"/>
    <col min="6906" max="6906" width="11.33203125" style="1" customWidth="1"/>
    <col min="6907" max="6907" width="13.33203125" style="1" customWidth="1"/>
    <col min="6908" max="6908" width="9.6640625" style="1" customWidth="1"/>
    <col min="6909" max="6909" width="17.1640625" style="1" customWidth="1"/>
    <col min="6910" max="6910" width="8.83203125" style="1" customWidth="1"/>
    <col min="6911" max="6911" width="10.83203125" style="1" customWidth="1"/>
    <col min="6912" max="6912" width="11.6640625" style="1" customWidth="1"/>
    <col min="6913" max="6913" width="12.6640625" style="1" customWidth="1"/>
    <col min="6914" max="6914" width="13.33203125" style="1" customWidth="1"/>
    <col min="6915" max="6915" width="10.1640625" style="1" customWidth="1"/>
    <col min="6916" max="6916" width="11.5" style="1" customWidth="1"/>
    <col min="6917" max="6918" width="12" style="1" customWidth="1"/>
    <col min="6919" max="6919" width="9.6640625" style="1" customWidth="1"/>
    <col min="6920" max="6920" width="2.5" style="1" customWidth="1"/>
    <col min="6921" max="7155" width="9.33203125" style="1"/>
    <col min="7156" max="7156" width="2.6640625" style="1" customWidth="1"/>
    <col min="7157" max="7157" width="5" style="1" customWidth="1"/>
    <col min="7158" max="7158" width="43.1640625" style="1" customWidth="1"/>
    <col min="7159" max="7159" width="14.83203125" style="1" customWidth="1"/>
    <col min="7160" max="7160" width="0" style="1" hidden="1" customWidth="1"/>
    <col min="7161" max="7161" width="14.6640625" style="1" customWidth="1"/>
    <col min="7162" max="7162" width="11.33203125" style="1" customWidth="1"/>
    <col min="7163" max="7163" width="13.33203125" style="1" customWidth="1"/>
    <col min="7164" max="7164" width="9.6640625" style="1" customWidth="1"/>
    <col min="7165" max="7165" width="17.1640625" style="1" customWidth="1"/>
    <col min="7166" max="7166" width="8.83203125" style="1" customWidth="1"/>
    <col min="7167" max="7167" width="10.83203125" style="1" customWidth="1"/>
    <col min="7168" max="7168" width="11.6640625" style="1" customWidth="1"/>
    <col min="7169" max="7169" width="12.6640625" style="1" customWidth="1"/>
    <col min="7170" max="7170" width="13.33203125" style="1" customWidth="1"/>
    <col min="7171" max="7171" width="10.1640625" style="1" customWidth="1"/>
    <col min="7172" max="7172" width="11.5" style="1" customWidth="1"/>
    <col min="7173" max="7174" width="12" style="1" customWidth="1"/>
    <col min="7175" max="7175" width="9.6640625" style="1" customWidth="1"/>
    <col min="7176" max="7176" width="2.5" style="1" customWidth="1"/>
    <col min="7177" max="7411" width="9.33203125" style="1"/>
    <col min="7412" max="7412" width="2.6640625" style="1" customWidth="1"/>
    <col min="7413" max="7413" width="5" style="1" customWidth="1"/>
    <col min="7414" max="7414" width="43.1640625" style="1" customWidth="1"/>
    <col min="7415" max="7415" width="14.83203125" style="1" customWidth="1"/>
    <col min="7416" max="7416" width="0" style="1" hidden="1" customWidth="1"/>
    <col min="7417" max="7417" width="14.6640625" style="1" customWidth="1"/>
    <col min="7418" max="7418" width="11.33203125" style="1" customWidth="1"/>
    <col min="7419" max="7419" width="13.33203125" style="1" customWidth="1"/>
    <col min="7420" max="7420" width="9.6640625" style="1" customWidth="1"/>
    <col min="7421" max="7421" width="17.1640625" style="1" customWidth="1"/>
    <col min="7422" max="7422" width="8.83203125" style="1" customWidth="1"/>
    <col min="7423" max="7423" width="10.83203125" style="1" customWidth="1"/>
    <col min="7424" max="7424" width="11.6640625" style="1" customWidth="1"/>
    <col min="7425" max="7425" width="12.6640625" style="1" customWidth="1"/>
    <col min="7426" max="7426" width="13.33203125" style="1" customWidth="1"/>
    <col min="7427" max="7427" width="10.1640625" style="1" customWidth="1"/>
    <col min="7428" max="7428" width="11.5" style="1" customWidth="1"/>
    <col min="7429" max="7430" width="12" style="1" customWidth="1"/>
    <col min="7431" max="7431" width="9.6640625" style="1" customWidth="1"/>
    <col min="7432" max="7432" width="2.5" style="1" customWidth="1"/>
    <col min="7433" max="7667" width="9.33203125" style="1"/>
    <col min="7668" max="7668" width="2.6640625" style="1" customWidth="1"/>
    <col min="7669" max="7669" width="5" style="1" customWidth="1"/>
    <col min="7670" max="7670" width="43.1640625" style="1" customWidth="1"/>
    <col min="7671" max="7671" width="14.83203125" style="1" customWidth="1"/>
    <col min="7672" max="7672" width="0" style="1" hidden="1" customWidth="1"/>
    <col min="7673" max="7673" width="14.6640625" style="1" customWidth="1"/>
    <col min="7674" max="7674" width="11.33203125" style="1" customWidth="1"/>
    <col min="7675" max="7675" width="13.33203125" style="1" customWidth="1"/>
    <col min="7676" max="7676" width="9.6640625" style="1" customWidth="1"/>
    <col min="7677" max="7677" width="17.1640625" style="1" customWidth="1"/>
    <col min="7678" max="7678" width="8.83203125" style="1" customWidth="1"/>
    <col min="7679" max="7679" width="10.83203125" style="1" customWidth="1"/>
    <col min="7680" max="7680" width="11.6640625" style="1" customWidth="1"/>
    <col min="7681" max="7681" width="12.6640625" style="1" customWidth="1"/>
    <col min="7682" max="7682" width="13.33203125" style="1" customWidth="1"/>
    <col min="7683" max="7683" width="10.1640625" style="1" customWidth="1"/>
    <col min="7684" max="7684" width="11.5" style="1" customWidth="1"/>
    <col min="7685" max="7686" width="12" style="1" customWidth="1"/>
    <col min="7687" max="7687" width="9.6640625" style="1" customWidth="1"/>
    <col min="7688" max="7688" width="2.5" style="1" customWidth="1"/>
    <col min="7689" max="7923" width="9.33203125" style="1"/>
    <col min="7924" max="7924" width="2.6640625" style="1" customWidth="1"/>
    <col min="7925" max="7925" width="5" style="1" customWidth="1"/>
    <col min="7926" max="7926" width="43.1640625" style="1" customWidth="1"/>
    <col min="7927" max="7927" width="14.83203125" style="1" customWidth="1"/>
    <col min="7928" max="7928" width="0" style="1" hidden="1" customWidth="1"/>
    <col min="7929" max="7929" width="14.6640625" style="1" customWidth="1"/>
    <col min="7930" max="7930" width="11.33203125" style="1" customWidth="1"/>
    <col min="7931" max="7931" width="13.33203125" style="1" customWidth="1"/>
    <col min="7932" max="7932" width="9.6640625" style="1" customWidth="1"/>
    <col min="7933" max="7933" width="17.1640625" style="1" customWidth="1"/>
    <col min="7934" max="7934" width="8.83203125" style="1" customWidth="1"/>
    <col min="7935" max="7935" width="10.83203125" style="1" customWidth="1"/>
    <col min="7936" max="7936" width="11.6640625" style="1" customWidth="1"/>
    <col min="7937" max="7937" width="12.6640625" style="1" customWidth="1"/>
    <col min="7938" max="7938" width="13.33203125" style="1" customWidth="1"/>
    <col min="7939" max="7939" width="10.1640625" style="1" customWidth="1"/>
    <col min="7940" max="7940" width="11.5" style="1" customWidth="1"/>
    <col min="7941" max="7942" width="12" style="1" customWidth="1"/>
    <col min="7943" max="7943" width="9.6640625" style="1" customWidth="1"/>
    <col min="7944" max="7944" width="2.5" style="1" customWidth="1"/>
    <col min="7945" max="8179" width="9.33203125" style="1"/>
    <col min="8180" max="8180" width="2.6640625" style="1" customWidth="1"/>
    <col min="8181" max="8181" width="5" style="1" customWidth="1"/>
    <col min="8182" max="8182" width="43.1640625" style="1" customWidth="1"/>
    <col min="8183" max="8183" width="14.83203125" style="1" customWidth="1"/>
    <col min="8184" max="8184" width="0" style="1" hidden="1" customWidth="1"/>
    <col min="8185" max="8185" width="14.6640625" style="1" customWidth="1"/>
    <col min="8186" max="8186" width="11.33203125" style="1" customWidth="1"/>
    <col min="8187" max="8187" width="13.33203125" style="1" customWidth="1"/>
    <col min="8188" max="8188" width="9.6640625" style="1" customWidth="1"/>
    <col min="8189" max="8189" width="17.1640625" style="1" customWidth="1"/>
    <col min="8190" max="8190" width="8.83203125" style="1" customWidth="1"/>
    <col min="8191" max="8191" width="10.83203125" style="1" customWidth="1"/>
    <col min="8192" max="8192" width="11.6640625" style="1" customWidth="1"/>
    <col min="8193" max="8193" width="12.6640625" style="1" customWidth="1"/>
    <col min="8194" max="8194" width="13.33203125" style="1" customWidth="1"/>
    <col min="8195" max="8195" width="10.1640625" style="1" customWidth="1"/>
    <col min="8196" max="8196" width="11.5" style="1" customWidth="1"/>
    <col min="8197" max="8198" width="12" style="1" customWidth="1"/>
    <col min="8199" max="8199" width="9.6640625" style="1" customWidth="1"/>
    <col min="8200" max="8200" width="2.5" style="1" customWidth="1"/>
    <col min="8201" max="8435" width="9.33203125" style="1"/>
    <col min="8436" max="8436" width="2.6640625" style="1" customWidth="1"/>
    <col min="8437" max="8437" width="5" style="1" customWidth="1"/>
    <col min="8438" max="8438" width="43.1640625" style="1" customWidth="1"/>
    <col min="8439" max="8439" width="14.83203125" style="1" customWidth="1"/>
    <col min="8440" max="8440" width="0" style="1" hidden="1" customWidth="1"/>
    <col min="8441" max="8441" width="14.6640625" style="1" customWidth="1"/>
    <col min="8442" max="8442" width="11.33203125" style="1" customWidth="1"/>
    <col min="8443" max="8443" width="13.33203125" style="1" customWidth="1"/>
    <col min="8444" max="8444" width="9.6640625" style="1" customWidth="1"/>
    <col min="8445" max="8445" width="17.1640625" style="1" customWidth="1"/>
    <col min="8446" max="8446" width="8.83203125" style="1" customWidth="1"/>
    <col min="8447" max="8447" width="10.83203125" style="1" customWidth="1"/>
    <col min="8448" max="8448" width="11.6640625" style="1" customWidth="1"/>
    <col min="8449" max="8449" width="12.6640625" style="1" customWidth="1"/>
    <col min="8450" max="8450" width="13.33203125" style="1" customWidth="1"/>
    <col min="8451" max="8451" width="10.1640625" style="1" customWidth="1"/>
    <col min="8452" max="8452" width="11.5" style="1" customWidth="1"/>
    <col min="8453" max="8454" width="12" style="1" customWidth="1"/>
    <col min="8455" max="8455" width="9.6640625" style="1" customWidth="1"/>
    <col min="8456" max="8456" width="2.5" style="1" customWidth="1"/>
    <col min="8457" max="8691" width="9.33203125" style="1"/>
    <col min="8692" max="8692" width="2.6640625" style="1" customWidth="1"/>
    <col min="8693" max="8693" width="5" style="1" customWidth="1"/>
    <col min="8694" max="8694" width="43.1640625" style="1" customWidth="1"/>
    <col min="8695" max="8695" width="14.83203125" style="1" customWidth="1"/>
    <col min="8696" max="8696" width="0" style="1" hidden="1" customWidth="1"/>
    <col min="8697" max="8697" width="14.6640625" style="1" customWidth="1"/>
    <col min="8698" max="8698" width="11.33203125" style="1" customWidth="1"/>
    <col min="8699" max="8699" width="13.33203125" style="1" customWidth="1"/>
    <col min="8700" max="8700" width="9.6640625" style="1" customWidth="1"/>
    <col min="8701" max="8701" width="17.1640625" style="1" customWidth="1"/>
    <col min="8702" max="8702" width="8.83203125" style="1" customWidth="1"/>
    <col min="8703" max="8703" width="10.83203125" style="1" customWidth="1"/>
    <col min="8704" max="8704" width="11.6640625" style="1" customWidth="1"/>
    <col min="8705" max="8705" width="12.6640625" style="1" customWidth="1"/>
    <col min="8706" max="8706" width="13.33203125" style="1" customWidth="1"/>
    <col min="8707" max="8707" width="10.1640625" style="1" customWidth="1"/>
    <col min="8708" max="8708" width="11.5" style="1" customWidth="1"/>
    <col min="8709" max="8710" width="12" style="1" customWidth="1"/>
    <col min="8711" max="8711" width="9.6640625" style="1" customWidth="1"/>
    <col min="8712" max="8712" width="2.5" style="1" customWidth="1"/>
    <col min="8713" max="8947" width="9.33203125" style="1"/>
    <col min="8948" max="8948" width="2.6640625" style="1" customWidth="1"/>
    <col min="8949" max="8949" width="5" style="1" customWidth="1"/>
    <col min="8950" max="8950" width="43.1640625" style="1" customWidth="1"/>
    <col min="8951" max="8951" width="14.83203125" style="1" customWidth="1"/>
    <col min="8952" max="8952" width="0" style="1" hidden="1" customWidth="1"/>
    <col min="8953" max="8953" width="14.6640625" style="1" customWidth="1"/>
    <col min="8954" max="8954" width="11.33203125" style="1" customWidth="1"/>
    <col min="8955" max="8955" width="13.33203125" style="1" customWidth="1"/>
    <col min="8956" max="8956" width="9.6640625" style="1" customWidth="1"/>
    <col min="8957" max="8957" width="17.1640625" style="1" customWidth="1"/>
    <col min="8958" max="8958" width="8.83203125" style="1" customWidth="1"/>
    <col min="8959" max="8959" width="10.83203125" style="1" customWidth="1"/>
    <col min="8960" max="8960" width="11.6640625" style="1" customWidth="1"/>
    <col min="8961" max="8961" width="12.6640625" style="1" customWidth="1"/>
    <col min="8962" max="8962" width="13.33203125" style="1" customWidth="1"/>
    <col min="8963" max="8963" width="10.1640625" style="1" customWidth="1"/>
    <col min="8964" max="8964" width="11.5" style="1" customWidth="1"/>
    <col min="8965" max="8966" width="12" style="1" customWidth="1"/>
    <col min="8967" max="8967" width="9.6640625" style="1" customWidth="1"/>
    <col min="8968" max="8968" width="2.5" style="1" customWidth="1"/>
    <col min="8969" max="9203" width="9.33203125" style="1"/>
    <col min="9204" max="9204" width="2.6640625" style="1" customWidth="1"/>
    <col min="9205" max="9205" width="5" style="1" customWidth="1"/>
    <col min="9206" max="9206" width="43.1640625" style="1" customWidth="1"/>
    <col min="9207" max="9207" width="14.83203125" style="1" customWidth="1"/>
    <col min="9208" max="9208" width="0" style="1" hidden="1" customWidth="1"/>
    <col min="9209" max="9209" width="14.6640625" style="1" customWidth="1"/>
    <col min="9210" max="9210" width="11.33203125" style="1" customWidth="1"/>
    <col min="9211" max="9211" width="13.33203125" style="1" customWidth="1"/>
    <col min="9212" max="9212" width="9.6640625" style="1" customWidth="1"/>
    <col min="9213" max="9213" width="17.1640625" style="1" customWidth="1"/>
    <col min="9214" max="9214" width="8.83203125" style="1" customWidth="1"/>
    <col min="9215" max="9215" width="10.83203125" style="1" customWidth="1"/>
    <col min="9216" max="9216" width="11.6640625" style="1" customWidth="1"/>
    <col min="9217" max="9217" width="12.6640625" style="1" customWidth="1"/>
    <col min="9218" max="9218" width="13.33203125" style="1" customWidth="1"/>
    <col min="9219" max="9219" width="10.1640625" style="1" customWidth="1"/>
    <col min="9220" max="9220" width="11.5" style="1" customWidth="1"/>
    <col min="9221" max="9222" width="12" style="1" customWidth="1"/>
    <col min="9223" max="9223" width="9.6640625" style="1" customWidth="1"/>
    <col min="9224" max="9224" width="2.5" style="1" customWidth="1"/>
    <col min="9225" max="9459" width="9.33203125" style="1"/>
    <col min="9460" max="9460" width="2.6640625" style="1" customWidth="1"/>
    <col min="9461" max="9461" width="5" style="1" customWidth="1"/>
    <col min="9462" max="9462" width="43.1640625" style="1" customWidth="1"/>
    <col min="9463" max="9463" width="14.83203125" style="1" customWidth="1"/>
    <col min="9464" max="9464" width="0" style="1" hidden="1" customWidth="1"/>
    <col min="9465" max="9465" width="14.6640625" style="1" customWidth="1"/>
    <col min="9466" max="9466" width="11.33203125" style="1" customWidth="1"/>
    <col min="9467" max="9467" width="13.33203125" style="1" customWidth="1"/>
    <col min="9468" max="9468" width="9.6640625" style="1" customWidth="1"/>
    <col min="9469" max="9469" width="17.1640625" style="1" customWidth="1"/>
    <col min="9470" max="9470" width="8.83203125" style="1" customWidth="1"/>
    <col min="9471" max="9471" width="10.83203125" style="1" customWidth="1"/>
    <col min="9472" max="9472" width="11.6640625" style="1" customWidth="1"/>
    <col min="9473" max="9473" width="12.6640625" style="1" customWidth="1"/>
    <col min="9474" max="9474" width="13.33203125" style="1" customWidth="1"/>
    <col min="9475" max="9475" width="10.1640625" style="1" customWidth="1"/>
    <col min="9476" max="9476" width="11.5" style="1" customWidth="1"/>
    <col min="9477" max="9478" width="12" style="1" customWidth="1"/>
    <col min="9479" max="9479" width="9.6640625" style="1" customWidth="1"/>
    <col min="9480" max="9480" width="2.5" style="1" customWidth="1"/>
    <col min="9481" max="9715" width="9.33203125" style="1"/>
    <col min="9716" max="9716" width="2.6640625" style="1" customWidth="1"/>
    <col min="9717" max="9717" width="5" style="1" customWidth="1"/>
    <col min="9718" max="9718" width="43.1640625" style="1" customWidth="1"/>
    <col min="9719" max="9719" width="14.83203125" style="1" customWidth="1"/>
    <col min="9720" max="9720" width="0" style="1" hidden="1" customWidth="1"/>
    <col min="9721" max="9721" width="14.6640625" style="1" customWidth="1"/>
    <col min="9722" max="9722" width="11.33203125" style="1" customWidth="1"/>
    <col min="9723" max="9723" width="13.33203125" style="1" customWidth="1"/>
    <col min="9724" max="9724" width="9.6640625" style="1" customWidth="1"/>
    <col min="9725" max="9725" width="17.1640625" style="1" customWidth="1"/>
    <col min="9726" max="9726" width="8.83203125" style="1" customWidth="1"/>
    <col min="9727" max="9727" width="10.83203125" style="1" customWidth="1"/>
    <col min="9728" max="9728" width="11.6640625" style="1" customWidth="1"/>
    <col min="9729" max="9729" width="12.6640625" style="1" customWidth="1"/>
    <col min="9730" max="9730" width="13.33203125" style="1" customWidth="1"/>
    <col min="9731" max="9731" width="10.1640625" style="1" customWidth="1"/>
    <col min="9732" max="9732" width="11.5" style="1" customWidth="1"/>
    <col min="9733" max="9734" width="12" style="1" customWidth="1"/>
    <col min="9735" max="9735" width="9.6640625" style="1" customWidth="1"/>
    <col min="9736" max="9736" width="2.5" style="1" customWidth="1"/>
    <col min="9737" max="9971" width="9.33203125" style="1"/>
    <col min="9972" max="9972" width="2.6640625" style="1" customWidth="1"/>
    <col min="9973" max="9973" width="5" style="1" customWidth="1"/>
    <col min="9974" max="9974" width="43.1640625" style="1" customWidth="1"/>
    <col min="9975" max="9975" width="14.83203125" style="1" customWidth="1"/>
    <col min="9976" max="9976" width="0" style="1" hidden="1" customWidth="1"/>
    <col min="9977" max="9977" width="14.6640625" style="1" customWidth="1"/>
    <col min="9978" max="9978" width="11.33203125" style="1" customWidth="1"/>
    <col min="9979" max="9979" width="13.33203125" style="1" customWidth="1"/>
    <col min="9980" max="9980" width="9.6640625" style="1" customWidth="1"/>
    <col min="9981" max="9981" width="17.1640625" style="1" customWidth="1"/>
    <col min="9982" max="9982" width="8.83203125" style="1" customWidth="1"/>
    <col min="9983" max="9983" width="10.83203125" style="1" customWidth="1"/>
    <col min="9984" max="9984" width="11.6640625" style="1" customWidth="1"/>
    <col min="9985" max="9985" width="12.6640625" style="1" customWidth="1"/>
    <col min="9986" max="9986" width="13.33203125" style="1" customWidth="1"/>
    <col min="9987" max="9987" width="10.1640625" style="1" customWidth="1"/>
    <col min="9988" max="9988" width="11.5" style="1" customWidth="1"/>
    <col min="9989" max="9990" width="12" style="1" customWidth="1"/>
    <col min="9991" max="9991" width="9.6640625" style="1" customWidth="1"/>
    <col min="9992" max="9992" width="2.5" style="1" customWidth="1"/>
    <col min="9993" max="10227" width="9.33203125" style="1"/>
    <col min="10228" max="10228" width="2.6640625" style="1" customWidth="1"/>
    <col min="10229" max="10229" width="5" style="1" customWidth="1"/>
    <col min="10230" max="10230" width="43.1640625" style="1" customWidth="1"/>
    <col min="10231" max="10231" width="14.83203125" style="1" customWidth="1"/>
    <col min="10232" max="10232" width="0" style="1" hidden="1" customWidth="1"/>
    <col min="10233" max="10233" width="14.6640625" style="1" customWidth="1"/>
    <col min="10234" max="10234" width="11.33203125" style="1" customWidth="1"/>
    <col min="10235" max="10235" width="13.33203125" style="1" customWidth="1"/>
    <col min="10236" max="10236" width="9.6640625" style="1" customWidth="1"/>
    <col min="10237" max="10237" width="17.1640625" style="1" customWidth="1"/>
    <col min="10238" max="10238" width="8.83203125" style="1" customWidth="1"/>
    <col min="10239" max="10239" width="10.83203125" style="1" customWidth="1"/>
    <col min="10240" max="10240" width="11.6640625" style="1" customWidth="1"/>
    <col min="10241" max="10241" width="12.6640625" style="1" customWidth="1"/>
    <col min="10242" max="10242" width="13.33203125" style="1" customWidth="1"/>
    <col min="10243" max="10243" width="10.1640625" style="1" customWidth="1"/>
    <col min="10244" max="10244" width="11.5" style="1" customWidth="1"/>
    <col min="10245" max="10246" width="12" style="1" customWidth="1"/>
    <col min="10247" max="10247" width="9.6640625" style="1" customWidth="1"/>
    <col min="10248" max="10248" width="2.5" style="1" customWidth="1"/>
    <col min="10249" max="10483" width="9.33203125" style="1"/>
    <col min="10484" max="10484" width="2.6640625" style="1" customWidth="1"/>
    <col min="10485" max="10485" width="5" style="1" customWidth="1"/>
    <col min="10486" max="10486" width="43.1640625" style="1" customWidth="1"/>
    <col min="10487" max="10487" width="14.83203125" style="1" customWidth="1"/>
    <col min="10488" max="10488" width="0" style="1" hidden="1" customWidth="1"/>
    <col min="10489" max="10489" width="14.6640625" style="1" customWidth="1"/>
    <col min="10490" max="10490" width="11.33203125" style="1" customWidth="1"/>
    <col min="10491" max="10491" width="13.33203125" style="1" customWidth="1"/>
    <col min="10492" max="10492" width="9.6640625" style="1" customWidth="1"/>
    <col min="10493" max="10493" width="17.1640625" style="1" customWidth="1"/>
    <col min="10494" max="10494" width="8.83203125" style="1" customWidth="1"/>
    <col min="10495" max="10495" width="10.83203125" style="1" customWidth="1"/>
    <col min="10496" max="10496" width="11.6640625" style="1" customWidth="1"/>
    <col min="10497" max="10497" width="12.6640625" style="1" customWidth="1"/>
    <col min="10498" max="10498" width="13.33203125" style="1" customWidth="1"/>
    <col min="10499" max="10499" width="10.1640625" style="1" customWidth="1"/>
    <col min="10500" max="10500" width="11.5" style="1" customWidth="1"/>
    <col min="10501" max="10502" width="12" style="1" customWidth="1"/>
    <col min="10503" max="10503" width="9.6640625" style="1" customWidth="1"/>
    <col min="10504" max="10504" width="2.5" style="1" customWidth="1"/>
    <col min="10505" max="10739" width="9.33203125" style="1"/>
    <col min="10740" max="10740" width="2.6640625" style="1" customWidth="1"/>
    <col min="10741" max="10741" width="5" style="1" customWidth="1"/>
    <col min="10742" max="10742" width="43.1640625" style="1" customWidth="1"/>
    <col min="10743" max="10743" width="14.83203125" style="1" customWidth="1"/>
    <col min="10744" max="10744" width="0" style="1" hidden="1" customWidth="1"/>
    <col min="10745" max="10745" width="14.6640625" style="1" customWidth="1"/>
    <col min="10746" max="10746" width="11.33203125" style="1" customWidth="1"/>
    <col min="10747" max="10747" width="13.33203125" style="1" customWidth="1"/>
    <col min="10748" max="10748" width="9.6640625" style="1" customWidth="1"/>
    <col min="10749" max="10749" width="17.1640625" style="1" customWidth="1"/>
    <col min="10750" max="10750" width="8.83203125" style="1" customWidth="1"/>
    <col min="10751" max="10751" width="10.83203125" style="1" customWidth="1"/>
    <col min="10752" max="10752" width="11.6640625" style="1" customWidth="1"/>
    <col min="10753" max="10753" width="12.6640625" style="1" customWidth="1"/>
    <col min="10754" max="10754" width="13.33203125" style="1" customWidth="1"/>
    <col min="10755" max="10755" width="10.1640625" style="1" customWidth="1"/>
    <col min="10756" max="10756" width="11.5" style="1" customWidth="1"/>
    <col min="10757" max="10758" width="12" style="1" customWidth="1"/>
    <col min="10759" max="10759" width="9.6640625" style="1" customWidth="1"/>
    <col min="10760" max="10760" width="2.5" style="1" customWidth="1"/>
    <col min="10761" max="10995" width="9.33203125" style="1"/>
    <col min="10996" max="10996" width="2.6640625" style="1" customWidth="1"/>
    <col min="10997" max="10997" width="5" style="1" customWidth="1"/>
    <col min="10998" max="10998" width="43.1640625" style="1" customWidth="1"/>
    <col min="10999" max="10999" width="14.83203125" style="1" customWidth="1"/>
    <col min="11000" max="11000" width="0" style="1" hidden="1" customWidth="1"/>
    <col min="11001" max="11001" width="14.6640625" style="1" customWidth="1"/>
    <col min="11002" max="11002" width="11.33203125" style="1" customWidth="1"/>
    <col min="11003" max="11003" width="13.33203125" style="1" customWidth="1"/>
    <col min="11004" max="11004" width="9.6640625" style="1" customWidth="1"/>
    <col min="11005" max="11005" width="17.1640625" style="1" customWidth="1"/>
    <col min="11006" max="11006" width="8.83203125" style="1" customWidth="1"/>
    <col min="11007" max="11007" width="10.83203125" style="1" customWidth="1"/>
    <col min="11008" max="11008" width="11.6640625" style="1" customWidth="1"/>
    <col min="11009" max="11009" width="12.6640625" style="1" customWidth="1"/>
    <col min="11010" max="11010" width="13.33203125" style="1" customWidth="1"/>
    <col min="11011" max="11011" width="10.1640625" style="1" customWidth="1"/>
    <col min="11012" max="11012" width="11.5" style="1" customWidth="1"/>
    <col min="11013" max="11014" width="12" style="1" customWidth="1"/>
    <col min="11015" max="11015" width="9.6640625" style="1" customWidth="1"/>
    <col min="11016" max="11016" width="2.5" style="1" customWidth="1"/>
    <col min="11017" max="11251" width="9.33203125" style="1"/>
    <col min="11252" max="11252" width="2.6640625" style="1" customWidth="1"/>
    <col min="11253" max="11253" width="5" style="1" customWidth="1"/>
    <col min="11254" max="11254" width="43.1640625" style="1" customWidth="1"/>
    <col min="11255" max="11255" width="14.83203125" style="1" customWidth="1"/>
    <col min="11256" max="11256" width="0" style="1" hidden="1" customWidth="1"/>
    <col min="11257" max="11257" width="14.6640625" style="1" customWidth="1"/>
    <col min="11258" max="11258" width="11.33203125" style="1" customWidth="1"/>
    <col min="11259" max="11259" width="13.33203125" style="1" customWidth="1"/>
    <col min="11260" max="11260" width="9.6640625" style="1" customWidth="1"/>
    <col min="11261" max="11261" width="17.1640625" style="1" customWidth="1"/>
    <col min="11262" max="11262" width="8.83203125" style="1" customWidth="1"/>
    <col min="11263" max="11263" width="10.83203125" style="1" customWidth="1"/>
    <col min="11264" max="11264" width="11.6640625" style="1" customWidth="1"/>
    <col min="11265" max="11265" width="12.6640625" style="1" customWidth="1"/>
    <col min="11266" max="11266" width="13.33203125" style="1" customWidth="1"/>
    <col min="11267" max="11267" width="10.1640625" style="1" customWidth="1"/>
    <col min="11268" max="11268" width="11.5" style="1" customWidth="1"/>
    <col min="11269" max="11270" width="12" style="1" customWidth="1"/>
    <col min="11271" max="11271" width="9.6640625" style="1" customWidth="1"/>
    <col min="11272" max="11272" width="2.5" style="1" customWidth="1"/>
    <col min="11273" max="11507" width="9.33203125" style="1"/>
    <col min="11508" max="11508" width="2.6640625" style="1" customWidth="1"/>
    <col min="11509" max="11509" width="5" style="1" customWidth="1"/>
    <col min="11510" max="11510" width="43.1640625" style="1" customWidth="1"/>
    <col min="11511" max="11511" width="14.83203125" style="1" customWidth="1"/>
    <col min="11512" max="11512" width="0" style="1" hidden="1" customWidth="1"/>
    <col min="11513" max="11513" width="14.6640625" style="1" customWidth="1"/>
    <col min="11514" max="11514" width="11.33203125" style="1" customWidth="1"/>
    <col min="11515" max="11515" width="13.33203125" style="1" customWidth="1"/>
    <col min="11516" max="11516" width="9.6640625" style="1" customWidth="1"/>
    <col min="11517" max="11517" width="17.1640625" style="1" customWidth="1"/>
    <col min="11518" max="11518" width="8.83203125" style="1" customWidth="1"/>
    <col min="11519" max="11519" width="10.83203125" style="1" customWidth="1"/>
    <col min="11520" max="11520" width="11.6640625" style="1" customWidth="1"/>
    <col min="11521" max="11521" width="12.6640625" style="1" customWidth="1"/>
    <col min="11522" max="11522" width="13.33203125" style="1" customWidth="1"/>
    <col min="11523" max="11523" width="10.1640625" style="1" customWidth="1"/>
    <col min="11524" max="11524" width="11.5" style="1" customWidth="1"/>
    <col min="11525" max="11526" width="12" style="1" customWidth="1"/>
    <col min="11527" max="11527" width="9.6640625" style="1" customWidth="1"/>
    <col min="11528" max="11528" width="2.5" style="1" customWidth="1"/>
    <col min="11529" max="11763" width="9.33203125" style="1"/>
    <col min="11764" max="11764" width="2.6640625" style="1" customWidth="1"/>
    <col min="11765" max="11765" width="5" style="1" customWidth="1"/>
    <col min="11766" max="11766" width="43.1640625" style="1" customWidth="1"/>
    <col min="11767" max="11767" width="14.83203125" style="1" customWidth="1"/>
    <col min="11768" max="11768" width="0" style="1" hidden="1" customWidth="1"/>
    <col min="11769" max="11769" width="14.6640625" style="1" customWidth="1"/>
    <col min="11770" max="11770" width="11.33203125" style="1" customWidth="1"/>
    <col min="11771" max="11771" width="13.33203125" style="1" customWidth="1"/>
    <col min="11772" max="11772" width="9.6640625" style="1" customWidth="1"/>
    <col min="11773" max="11773" width="17.1640625" style="1" customWidth="1"/>
    <col min="11774" max="11774" width="8.83203125" style="1" customWidth="1"/>
    <col min="11775" max="11775" width="10.83203125" style="1" customWidth="1"/>
    <col min="11776" max="11776" width="11.6640625" style="1" customWidth="1"/>
    <col min="11777" max="11777" width="12.6640625" style="1" customWidth="1"/>
    <col min="11778" max="11778" width="13.33203125" style="1" customWidth="1"/>
    <col min="11779" max="11779" width="10.1640625" style="1" customWidth="1"/>
    <col min="11780" max="11780" width="11.5" style="1" customWidth="1"/>
    <col min="11781" max="11782" width="12" style="1" customWidth="1"/>
    <col min="11783" max="11783" width="9.6640625" style="1" customWidth="1"/>
    <col min="11784" max="11784" width="2.5" style="1" customWidth="1"/>
    <col min="11785" max="12019" width="9.33203125" style="1"/>
    <col min="12020" max="12020" width="2.6640625" style="1" customWidth="1"/>
    <col min="12021" max="12021" width="5" style="1" customWidth="1"/>
    <col min="12022" max="12022" width="43.1640625" style="1" customWidth="1"/>
    <col min="12023" max="12023" width="14.83203125" style="1" customWidth="1"/>
    <col min="12024" max="12024" width="0" style="1" hidden="1" customWidth="1"/>
    <col min="12025" max="12025" width="14.6640625" style="1" customWidth="1"/>
    <col min="12026" max="12026" width="11.33203125" style="1" customWidth="1"/>
    <col min="12027" max="12027" width="13.33203125" style="1" customWidth="1"/>
    <col min="12028" max="12028" width="9.6640625" style="1" customWidth="1"/>
    <col min="12029" max="12029" width="17.1640625" style="1" customWidth="1"/>
    <col min="12030" max="12030" width="8.83203125" style="1" customWidth="1"/>
    <col min="12031" max="12031" width="10.83203125" style="1" customWidth="1"/>
    <col min="12032" max="12032" width="11.6640625" style="1" customWidth="1"/>
    <col min="12033" max="12033" width="12.6640625" style="1" customWidth="1"/>
    <col min="12034" max="12034" width="13.33203125" style="1" customWidth="1"/>
    <col min="12035" max="12035" width="10.1640625" style="1" customWidth="1"/>
    <col min="12036" max="12036" width="11.5" style="1" customWidth="1"/>
    <col min="12037" max="12038" width="12" style="1" customWidth="1"/>
    <col min="12039" max="12039" width="9.6640625" style="1" customWidth="1"/>
    <col min="12040" max="12040" width="2.5" style="1" customWidth="1"/>
    <col min="12041" max="12275" width="9.33203125" style="1"/>
    <col min="12276" max="12276" width="2.6640625" style="1" customWidth="1"/>
    <col min="12277" max="12277" width="5" style="1" customWidth="1"/>
    <col min="12278" max="12278" width="43.1640625" style="1" customWidth="1"/>
    <col min="12279" max="12279" width="14.83203125" style="1" customWidth="1"/>
    <col min="12280" max="12280" width="0" style="1" hidden="1" customWidth="1"/>
    <col min="12281" max="12281" width="14.6640625" style="1" customWidth="1"/>
    <col min="12282" max="12282" width="11.33203125" style="1" customWidth="1"/>
    <col min="12283" max="12283" width="13.33203125" style="1" customWidth="1"/>
    <col min="12284" max="12284" width="9.6640625" style="1" customWidth="1"/>
    <col min="12285" max="12285" width="17.1640625" style="1" customWidth="1"/>
    <col min="12286" max="12286" width="8.83203125" style="1" customWidth="1"/>
    <col min="12287" max="12287" width="10.83203125" style="1" customWidth="1"/>
    <col min="12288" max="12288" width="11.6640625" style="1" customWidth="1"/>
    <col min="12289" max="12289" width="12.6640625" style="1" customWidth="1"/>
    <col min="12290" max="12290" width="13.33203125" style="1" customWidth="1"/>
    <col min="12291" max="12291" width="10.1640625" style="1" customWidth="1"/>
    <col min="12292" max="12292" width="11.5" style="1" customWidth="1"/>
    <col min="12293" max="12294" width="12" style="1" customWidth="1"/>
    <col min="12295" max="12295" width="9.6640625" style="1" customWidth="1"/>
    <col min="12296" max="12296" width="2.5" style="1" customWidth="1"/>
    <col min="12297" max="12531" width="9.33203125" style="1"/>
    <col min="12532" max="12532" width="2.6640625" style="1" customWidth="1"/>
    <col min="12533" max="12533" width="5" style="1" customWidth="1"/>
    <col min="12534" max="12534" width="43.1640625" style="1" customWidth="1"/>
    <col min="12535" max="12535" width="14.83203125" style="1" customWidth="1"/>
    <col min="12536" max="12536" width="0" style="1" hidden="1" customWidth="1"/>
    <col min="12537" max="12537" width="14.6640625" style="1" customWidth="1"/>
    <col min="12538" max="12538" width="11.33203125" style="1" customWidth="1"/>
    <col min="12539" max="12539" width="13.33203125" style="1" customWidth="1"/>
    <col min="12540" max="12540" width="9.6640625" style="1" customWidth="1"/>
    <col min="12541" max="12541" width="17.1640625" style="1" customWidth="1"/>
    <col min="12542" max="12542" width="8.83203125" style="1" customWidth="1"/>
    <col min="12543" max="12543" width="10.83203125" style="1" customWidth="1"/>
    <col min="12544" max="12544" width="11.6640625" style="1" customWidth="1"/>
    <col min="12545" max="12545" width="12.6640625" style="1" customWidth="1"/>
    <col min="12546" max="12546" width="13.33203125" style="1" customWidth="1"/>
    <col min="12547" max="12547" width="10.1640625" style="1" customWidth="1"/>
    <col min="12548" max="12548" width="11.5" style="1" customWidth="1"/>
    <col min="12549" max="12550" width="12" style="1" customWidth="1"/>
    <col min="12551" max="12551" width="9.6640625" style="1" customWidth="1"/>
    <col min="12552" max="12552" width="2.5" style="1" customWidth="1"/>
    <col min="12553" max="12787" width="9.33203125" style="1"/>
    <col min="12788" max="12788" width="2.6640625" style="1" customWidth="1"/>
    <col min="12789" max="12789" width="5" style="1" customWidth="1"/>
    <col min="12790" max="12790" width="43.1640625" style="1" customWidth="1"/>
    <col min="12791" max="12791" width="14.83203125" style="1" customWidth="1"/>
    <col min="12792" max="12792" width="0" style="1" hidden="1" customWidth="1"/>
    <col min="12793" max="12793" width="14.6640625" style="1" customWidth="1"/>
    <col min="12794" max="12794" width="11.33203125" style="1" customWidth="1"/>
    <col min="12795" max="12795" width="13.33203125" style="1" customWidth="1"/>
    <col min="12796" max="12796" width="9.6640625" style="1" customWidth="1"/>
    <col min="12797" max="12797" width="17.1640625" style="1" customWidth="1"/>
    <col min="12798" max="12798" width="8.83203125" style="1" customWidth="1"/>
    <col min="12799" max="12799" width="10.83203125" style="1" customWidth="1"/>
    <col min="12800" max="12800" width="11.6640625" style="1" customWidth="1"/>
    <col min="12801" max="12801" width="12.6640625" style="1" customWidth="1"/>
    <col min="12802" max="12802" width="13.33203125" style="1" customWidth="1"/>
    <col min="12803" max="12803" width="10.1640625" style="1" customWidth="1"/>
    <col min="12804" max="12804" width="11.5" style="1" customWidth="1"/>
    <col min="12805" max="12806" width="12" style="1" customWidth="1"/>
    <col min="12807" max="12807" width="9.6640625" style="1" customWidth="1"/>
    <col min="12808" max="12808" width="2.5" style="1" customWidth="1"/>
    <col min="12809" max="13043" width="9.33203125" style="1"/>
    <col min="13044" max="13044" width="2.6640625" style="1" customWidth="1"/>
    <col min="13045" max="13045" width="5" style="1" customWidth="1"/>
    <col min="13046" max="13046" width="43.1640625" style="1" customWidth="1"/>
    <col min="13047" max="13047" width="14.83203125" style="1" customWidth="1"/>
    <col min="13048" max="13048" width="0" style="1" hidden="1" customWidth="1"/>
    <col min="13049" max="13049" width="14.6640625" style="1" customWidth="1"/>
    <col min="13050" max="13050" width="11.33203125" style="1" customWidth="1"/>
    <col min="13051" max="13051" width="13.33203125" style="1" customWidth="1"/>
    <col min="13052" max="13052" width="9.6640625" style="1" customWidth="1"/>
    <col min="13053" max="13053" width="17.1640625" style="1" customWidth="1"/>
    <col min="13054" max="13054" width="8.83203125" style="1" customWidth="1"/>
    <col min="13055" max="13055" width="10.83203125" style="1" customWidth="1"/>
    <col min="13056" max="13056" width="11.6640625" style="1" customWidth="1"/>
    <col min="13057" max="13057" width="12.6640625" style="1" customWidth="1"/>
    <col min="13058" max="13058" width="13.33203125" style="1" customWidth="1"/>
    <col min="13059" max="13059" width="10.1640625" style="1" customWidth="1"/>
    <col min="13060" max="13060" width="11.5" style="1" customWidth="1"/>
    <col min="13061" max="13062" width="12" style="1" customWidth="1"/>
    <col min="13063" max="13063" width="9.6640625" style="1" customWidth="1"/>
    <col min="13064" max="13064" width="2.5" style="1" customWidth="1"/>
    <col min="13065" max="13299" width="9.33203125" style="1"/>
    <col min="13300" max="13300" width="2.6640625" style="1" customWidth="1"/>
    <col min="13301" max="13301" width="5" style="1" customWidth="1"/>
    <col min="13302" max="13302" width="43.1640625" style="1" customWidth="1"/>
    <col min="13303" max="13303" width="14.83203125" style="1" customWidth="1"/>
    <col min="13304" max="13304" width="0" style="1" hidden="1" customWidth="1"/>
    <col min="13305" max="13305" width="14.6640625" style="1" customWidth="1"/>
    <col min="13306" max="13306" width="11.33203125" style="1" customWidth="1"/>
    <col min="13307" max="13307" width="13.33203125" style="1" customWidth="1"/>
    <col min="13308" max="13308" width="9.6640625" style="1" customWidth="1"/>
    <col min="13309" max="13309" width="17.1640625" style="1" customWidth="1"/>
    <col min="13310" max="13310" width="8.83203125" style="1" customWidth="1"/>
    <col min="13311" max="13311" width="10.83203125" style="1" customWidth="1"/>
    <col min="13312" max="13312" width="11.6640625" style="1" customWidth="1"/>
    <col min="13313" max="13313" width="12.6640625" style="1" customWidth="1"/>
    <col min="13314" max="13314" width="13.33203125" style="1" customWidth="1"/>
    <col min="13315" max="13315" width="10.1640625" style="1" customWidth="1"/>
    <col min="13316" max="13316" width="11.5" style="1" customWidth="1"/>
    <col min="13317" max="13318" width="12" style="1" customWidth="1"/>
    <col min="13319" max="13319" width="9.6640625" style="1" customWidth="1"/>
    <col min="13320" max="13320" width="2.5" style="1" customWidth="1"/>
    <col min="13321" max="13555" width="9.33203125" style="1"/>
    <col min="13556" max="13556" width="2.6640625" style="1" customWidth="1"/>
    <col min="13557" max="13557" width="5" style="1" customWidth="1"/>
    <col min="13558" max="13558" width="43.1640625" style="1" customWidth="1"/>
    <col min="13559" max="13559" width="14.83203125" style="1" customWidth="1"/>
    <col min="13560" max="13560" width="0" style="1" hidden="1" customWidth="1"/>
    <col min="13561" max="13561" width="14.6640625" style="1" customWidth="1"/>
    <col min="13562" max="13562" width="11.33203125" style="1" customWidth="1"/>
    <col min="13563" max="13563" width="13.33203125" style="1" customWidth="1"/>
    <col min="13564" max="13564" width="9.6640625" style="1" customWidth="1"/>
    <col min="13565" max="13565" width="17.1640625" style="1" customWidth="1"/>
    <col min="13566" max="13566" width="8.83203125" style="1" customWidth="1"/>
    <col min="13567" max="13567" width="10.83203125" style="1" customWidth="1"/>
    <col min="13568" max="13568" width="11.6640625" style="1" customWidth="1"/>
    <col min="13569" max="13569" width="12.6640625" style="1" customWidth="1"/>
    <col min="13570" max="13570" width="13.33203125" style="1" customWidth="1"/>
    <col min="13571" max="13571" width="10.1640625" style="1" customWidth="1"/>
    <col min="13572" max="13572" width="11.5" style="1" customWidth="1"/>
    <col min="13573" max="13574" width="12" style="1" customWidth="1"/>
    <col min="13575" max="13575" width="9.6640625" style="1" customWidth="1"/>
    <col min="13576" max="13576" width="2.5" style="1" customWidth="1"/>
    <col min="13577" max="13811" width="9.33203125" style="1"/>
    <col min="13812" max="13812" width="2.6640625" style="1" customWidth="1"/>
    <col min="13813" max="13813" width="5" style="1" customWidth="1"/>
    <col min="13814" max="13814" width="43.1640625" style="1" customWidth="1"/>
    <col min="13815" max="13815" width="14.83203125" style="1" customWidth="1"/>
    <col min="13816" max="13816" width="0" style="1" hidden="1" customWidth="1"/>
    <col min="13817" max="13817" width="14.6640625" style="1" customWidth="1"/>
    <col min="13818" max="13818" width="11.33203125" style="1" customWidth="1"/>
    <col min="13819" max="13819" width="13.33203125" style="1" customWidth="1"/>
    <col min="13820" max="13820" width="9.6640625" style="1" customWidth="1"/>
    <col min="13821" max="13821" width="17.1640625" style="1" customWidth="1"/>
    <col min="13822" max="13822" width="8.83203125" style="1" customWidth="1"/>
    <col min="13823" max="13823" width="10.83203125" style="1" customWidth="1"/>
    <col min="13824" max="13824" width="11.6640625" style="1" customWidth="1"/>
    <col min="13825" max="13825" width="12.6640625" style="1" customWidth="1"/>
    <col min="13826" max="13826" width="13.33203125" style="1" customWidth="1"/>
    <col min="13827" max="13827" width="10.1640625" style="1" customWidth="1"/>
    <col min="13828" max="13828" width="11.5" style="1" customWidth="1"/>
    <col min="13829" max="13830" width="12" style="1" customWidth="1"/>
    <col min="13831" max="13831" width="9.6640625" style="1" customWidth="1"/>
    <col min="13832" max="13832" width="2.5" style="1" customWidth="1"/>
    <col min="13833" max="14067" width="9.33203125" style="1"/>
    <col min="14068" max="14068" width="2.6640625" style="1" customWidth="1"/>
    <col min="14069" max="14069" width="5" style="1" customWidth="1"/>
    <col min="14070" max="14070" width="43.1640625" style="1" customWidth="1"/>
    <col min="14071" max="14071" width="14.83203125" style="1" customWidth="1"/>
    <col min="14072" max="14072" width="0" style="1" hidden="1" customWidth="1"/>
    <col min="14073" max="14073" width="14.6640625" style="1" customWidth="1"/>
    <col min="14074" max="14074" width="11.33203125" style="1" customWidth="1"/>
    <col min="14075" max="14075" width="13.33203125" style="1" customWidth="1"/>
    <col min="14076" max="14076" width="9.6640625" style="1" customWidth="1"/>
    <col min="14077" max="14077" width="17.1640625" style="1" customWidth="1"/>
    <col min="14078" max="14078" width="8.83203125" style="1" customWidth="1"/>
    <col min="14079" max="14079" width="10.83203125" style="1" customWidth="1"/>
    <col min="14080" max="14080" width="11.6640625" style="1" customWidth="1"/>
    <col min="14081" max="14081" width="12.6640625" style="1" customWidth="1"/>
    <col min="14082" max="14082" width="13.33203125" style="1" customWidth="1"/>
    <col min="14083" max="14083" width="10.1640625" style="1" customWidth="1"/>
    <col min="14084" max="14084" width="11.5" style="1" customWidth="1"/>
    <col min="14085" max="14086" width="12" style="1" customWidth="1"/>
    <col min="14087" max="14087" width="9.6640625" style="1" customWidth="1"/>
    <col min="14088" max="14088" width="2.5" style="1" customWidth="1"/>
    <col min="14089" max="14323" width="9.33203125" style="1"/>
    <col min="14324" max="14324" width="2.6640625" style="1" customWidth="1"/>
    <col min="14325" max="14325" width="5" style="1" customWidth="1"/>
    <col min="14326" max="14326" width="43.1640625" style="1" customWidth="1"/>
    <col min="14327" max="14327" width="14.83203125" style="1" customWidth="1"/>
    <col min="14328" max="14328" width="0" style="1" hidden="1" customWidth="1"/>
    <col min="14329" max="14329" width="14.6640625" style="1" customWidth="1"/>
    <col min="14330" max="14330" width="11.33203125" style="1" customWidth="1"/>
    <col min="14331" max="14331" width="13.33203125" style="1" customWidth="1"/>
    <col min="14332" max="14332" width="9.6640625" style="1" customWidth="1"/>
    <col min="14333" max="14333" width="17.1640625" style="1" customWidth="1"/>
    <col min="14334" max="14334" width="8.83203125" style="1" customWidth="1"/>
    <col min="14335" max="14335" width="10.83203125" style="1" customWidth="1"/>
    <col min="14336" max="14336" width="11.6640625" style="1" customWidth="1"/>
    <col min="14337" max="14337" width="12.6640625" style="1" customWidth="1"/>
    <col min="14338" max="14338" width="13.33203125" style="1" customWidth="1"/>
    <col min="14339" max="14339" width="10.1640625" style="1" customWidth="1"/>
    <col min="14340" max="14340" width="11.5" style="1" customWidth="1"/>
    <col min="14341" max="14342" width="12" style="1" customWidth="1"/>
    <col min="14343" max="14343" width="9.6640625" style="1" customWidth="1"/>
    <col min="14344" max="14344" width="2.5" style="1" customWidth="1"/>
    <col min="14345" max="14579" width="9.33203125" style="1"/>
    <col min="14580" max="14580" width="2.6640625" style="1" customWidth="1"/>
    <col min="14581" max="14581" width="5" style="1" customWidth="1"/>
    <col min="14582" max="14582" width="43.1640625" style="1" customWidth="1"/>
    <col min="14583" max="14583" width="14.83203125" style="1" customWidth="1"/>
    <col min="14584" max="14584" width="0" style="1" hidden="1" customWidth="1"/>
    <col min="14585" max="14585" width="14.6640625" style="1" customWidth="1"/>
    <col min="14586" max="14586" width="11.33203125" style="1" customWidth="1"/>
    <col min="14587" max="14587" width="13.33203125" style="1" customWidth="1"/>
    <col min="14588" max="14588" width="9.6640625" style="1" customWidth="1"/>
    <col min="14589" max="14589" width="17.1640625" style="1" customWidth="1"/>
    <col min="14590" max="14590" width="8.83203125" style="1" customWidth="1"/>
    <col min="14591" max="14591" width="10.83203125" style="1" customWidth="1"/>
    <col min="14592" max="14592" width="11.6640625" style="1" customWidth="1"/>
    <col min="14593" max="14593" width="12.6640625" style="1" customWidth="1"/>
    <col min="14594" max="14594" width="13.33203125" style="1" customWidth="1"/>
    <col min="14595" max="14595" width="10.1640625" style="1" customWidth="1"/>
    <col min="14596" max="14596" width="11.5" style="1" customWidth="1"/>
    <col min="14597" max="14598" width="12" style="1" customWidth="1"/>
    <col min="14599" max="14599" width="9.6640625" style="1" customWidth="1"/>
    <col min="14600" max="14600" width="2.5" style="1" customWidth="1"/>
    <col min="14601" max="14835" width="9.33203125" style="1"/>
    <col min="14836" max="14836" width="2.6640625" style="1" customWidth="1"/>
    <col min="14837" max="14837" width="5" style="1" customWidth="1"/>
    <col min="14838" max="14838" width="43.1640625" style="1" customWidth="1"/>
    <col min="14839" max="14839" width="14.83203125" style="1" customWidth="1"/>
    <col min="14840" max="14840" width="0" style="1" hidden="1" customWidth="1"/>
    <col min="14841" max="14841" width="14.6640625" style="1" customWidth="1"/>
    <col min="14842" max="14842" width="11.33203125" style="1" customWidth="1"/>
    <col min="14843" max="14843" width="13.33203125" style="1" customWidth="1"/>
    <col min="14844" max="14844" width="9.6640625" style="1" customWidth="1"/>
    <col min="14845" max="14845" width="17.1640625" style="1" customWidth="1"/>
    <col min="14846" max="14846" width="8.83203125" style="1" customWidth="1"/>
    <col min="14847" max="14847" width="10.83203125" style="1" customWidth="1"/>
    <col min="14848" max="14848" width="11.6640625" style="1" customWidth="1"/>
    <col min="14849" max="14849" width="12.6640625" style="1" customWidth="1"/>
    <col min="14850" max="14850" width="13.33203125" style="1" customWidth="1"/>
    <col min="14851" max="14851" width="10.1640625" style="1" customWidth="1"/>
    <col min="14852" max="14852" width="11.5" style="1" customWidth="1"/>
    <col min="14853" max="14854" width="12" style="1" customWidth="1"/>
    <col min="14855" max="14855" width="9.6640625" style="1" customWidth="1"/>
    <col min="14856" max="14856" width="2.5" style="1" customWidth="1"/>
    <col min="14857" max="15091" width="9.33203125" style="1"/>
    <col min="15092" max="15092" width="2.6640625" style="1" customWidth="1"/>
    <col min="15093" max="15093" width="5" style="1" customWidth="1"/>
    <col min="15094" max="15094" width="43.1640625" style="1" customWidth="1"/>
    <col min="15095" max="15095" width="14.83203125" style="1" customWidth="1"/>
    <col min="15096" max="15096" width="0" style="1" hidden="1" customWidth="1"/>
    <col min="15097" max="15097" width="14.6640625" style="1" customWidth="1"/>
    <col min="15098" max="15098" width="11.33203125" style="1" customWidth="1"/>
    <col min="15099" max="15099" width="13.33203125" style="1" customWidth="1"/>
    <col min="15100" max="15100" width="9.6640625" style="1" customWidth="1"/>
    <col min="15101" max="15101" width="17.1640625" style="1" customWidth="1"/>
    <col min="15102" max="15102" width="8.83203125" style="1" customWidth="1"/>
    <col min="15103" max="15103" width="10.83203125" style="1" customWidth="1"/>
    <col min="15104" max="15104" width="11.6640625" style="1" customWidth="1"/>
    <col min="15105" max="15105" width="12.6640625" style="1" customWidth="1"/>
    <col min="15106" max="15106" width="13.33203125" style="1" customWidth="1"/>
    <col min="15107" max="15107" width="10.1640625" style="1" customWidth="1"/>
    <col min="15108" max="15108" width="11.5" style="1" customWidth="1"/>
    <col min="15109" max="15110" width="12" style="1" customWidth="1"/>
    <col min="15111" max="15111" width="9.6640625" style="1" customWidth="1"/>
    <col min="15112" max="15112" width="2.5" style="1" customWidth="1"/>
    <col min="15113" max="15347" width="9.33203125" style="1"/>
    <col min="15348" max="15348" width="2.6640625" style="1" customWidth="1"/>
    <col min="15349" max="15349" width="5" style="1" customWidth="1"/>
    <col min="15350" max="15350" width="43.1640625" style="1" customWidth="1"/>
    <col min="15351" max="15351" width="14.83203125" style="1" customWidth="1"/>
    <col min="15352" max="15352" width="0" style="1" hidden="1" customWidth="1"/>
    <col min="15353" max="15353" width="14.6640625" style="1" customWidth="1"/>
    <col min="15354" max="15354" width="11.33203125" style="1" customWidth="1"/>
    <col min="15355" max="15355" width="13.33203125" style="1" customWidth="1"/>
    <col min="15356" max="15356" width="9.6640625" style="1" customWidth="1"/>
    <col min="15357" max="15357" width="17.1640625" style="1" customWidth="1"/>
    <col min="15358" max="15358" width="8.83203125" style="1" customWidth="1"/>
    <col min="15359" max="15359" width="10.83203125" style="1" customWidth="1"/>
    <col min="15360" max="15360" width="11.6640625" style="1" customWidth="1"/>
    <col min="15361" max="15361" width="12.6640625" style="1" customWidth="1"/>
    <col min="15362" max="15362" width="13.33203125" style="1" customWidth="1"/>
    <col min="15363" max="15363" width="10.1640625" style="1" customWidth="1"/>
    <col min="15364" max="15364" width="11.5" style="1" customWidth="1"/>
    <col min="15365" max="15366" width="12" style="1" customWidth="1"/>
    <col min="15367" max="15367" width="9.6640625" style="1" customWidth="1"/>
    <col min="15368" max="15368" width="2.5" style="1" customWidth="1"/>
    <col min="15369" max="15603" width="9.33203125" style="1"/>
    <col min="15604" max="15604" width="2.6640625" style="1" customWidth="1"/>
    <col min="15605" max="15605" width="5" style="1" customWidth="1"/>
    <col min="15606" max="15606" width="43.1640625" style="1" customWidth="1"/>
    <col min="15607" max="15607" width="14.83203125" style="1" customWidth="1"/>
    <col min="15608" max="15608" width="0" style="1" hidden="1" customWidth="1"/>
    <col min="15609" max="15609" width="14.6640625" style="1" customWidth="1"/>
    <col min="15610" max="15610" width="11.33203125" style="1" customWidth="1"/>
    <col min="15611" max="15611" width="13.33203125" style="1" customWidth="1"/>
    <col min="15612" max="15612" width="9.6640625" style="1" customWidth="1"/>
    <col min="15613" max="15613" width="17.1640625" style="1" customWidth="1"/>
    <col min="15614" max="15614" width="8.83203125" style="1" customWidth="1"/>
    <col min="15615" max="15615" width="10.83203125" style="1" customWidth="1"/>
    <col min="15616" max="15616" width="11.6640625" style="1" customWidth="1"/>
    <col min="15617" max="15617" width="12.6640625" style="1" customWidth="1"/>
    <col min="15618" max="15618" width="13.33203125" style="1" customWidth="1"/>
    <col min="15619" max="15619" width="10.1640625" style="1" customWidth="1"/>
    <col min="15620" max="15620" width="11.5" style="1" customWidth="1"/>
    <col min="15621" max="15622" width="12" style="1" customWidth="1"/>
    <col min="15623" max="15623" width="9.6640625" style="1" customWidth="1"/>
    <col min="15624" max="15624" width="2.5" style="1" customWidth="1"/>
    <col min="15625" max="15859" width="9.33203125" style="1"/>
    <col min="15860" max="15860" width="2.6640625" style="1" customWidth="1"/>
    <col min="15861" max="15861" width="5" style="1" customWidth="1"/>
    <col min="15862" max="15862" width="43.1640625" style="1" customWidth="1"/>
    <col min="15863" max="15863" width="14.83203125" style="1" customWidth="1"/>
    <col min="15864" max="15864" width="0" style="1" hidden="1" customWidth="1"/>
    <col min="15865" max="15865" width="14.6640625" style="1" customWidth="1"/>
    <col min="15866" max="15866" width="11.33203125" style="1" customWidth="1"/>
    <col min="15867" max="15867" width="13.33203125" style="1" customWidth="1"/>
    <col min="15868" max="15868" width="9.6640625" style="1" customWidth="1"/>
    <col min="15869" max="15869" width="17.1640625" style="1" customWidth="1"/>
    <col min="15870" max="15870" width="8.83203125" style="1" customWidth="1"/>
    <col min="15871" max="15871" width="10.83203125" style="1" customWidth="1"/>
    <col min="15872" max="15872" width="11.6640625" style="1" customWidth="1"/>
    <col min="15873" max="15873" width="12.6640625" style="1" customWidth="1"/>
    <col min="15874" max="15874" width="13.33203125" style="1" customWidth="1"/>
    <col min="15875" max="15875" width="10.1640625" style="1" customWidth="1"/>
    <col min="15876" max="15876" width="11.5" style="1" customWidth="1"/>
    <col min="15877" max="15878" width="12" style="1" customWidth="1"/>
    <col min="15879" max="15879" width="9.6640625" style="1" customWidth="1"/>
    <col min="15880" max="15880" width="2.5" style="1" customWidth="1"/>
    <col min="15881" max="16115" width="9.33203125" style="1"/>
    <col min="16116" max="16116" width="2.6640625" style="1" customWidth="1"/>
    <col min="16117" max="16117" width="5" style="1" customWidth="1"/>
    <col min="16118" max="16118" width="43.1640625" style="1" customWidth="1"/>
    <col min="16119" max="16119" width="14.83203125" style="1" customWidth="1"/>
    <col min="16120" max="16120" width="0" style="1" hidden="1" customWidth="1"/>
    <col min="16121" max="16121" width="14.6640625" style="1" customWidth="1"/>
    <col min="16122" max="16122" width="11.33203125" style="1" customWidth="1"/>
    <col min="16123" max="16123" width="13.33203125" style="1" customWidth="1"/>
    <col min="16124" max="16124" width="9.6640625" style="1" customWidth="1"/>
    <col min="16125" max="16125" width="17.1640625" style="1" customWidth="1"/>
    <col min="16126" max="16126" width="8.83203125" style="1" customWidth="1"/>
    <col min="16127" max="16127" width="10.83203125" style="1" customWidth="1"/>
    <col min="16128" max="16128" width="11.6640625" style="1" customWidth="1"/>
    <col min="16129" max="16129" width="12.6640625" style="1" customWidth="1"/>
    <col min="16130" max="16130" width="13.33203125" style="1" customWidth="1"/>
    <col min="16131" max="16131" width="10.1640625" style="1" customWidth="1"/>
    <col min="16132" max="16132" width="11.5" style="1" customWidth="1"/>
    <col min="16133" max="16134" width="12" style="1" customWidth="1"/>
    <col min="16135" max="16135" width="9.6640625" style="1" customWidth="1"/>
    <col min="16136" max="16136" width="2.5" style="1" customWidth="1"/>
    <col min="16137" max="16384" width="9.33203125" style="1"/>
  </cols>
  <sheetData>
    <row r="2" spans="2:9" ht="44.25" customHeight="1" thickBot="1" x14ac:dyDescent="0.25">
      <c r="B2" s="780" t="s">
        <v>1083</v>
      </c>
      <c r="C2" s="781"/>
      <c r="D2" s="781"/>
      <c r="E2" s="781"/>
      <c r="F2" s="781"/>
      <c r="G2" s="781"/>
      <c r="H2" s="781"/>
      <c r="I2" s="782"/>
    </row>
    <row r="3" spans="2:9" s="2" customFormat="1" x14ac:dyDescent="0.2">
      <c r="B3" s="690"/>
      <c r="C3" s="686" t="s">
        <v>531</v>
      </c>
      <c r="D3" s="686" t="s">
        <v>532</v>
      </c>
      <c r="E3" s="686" t="s">
        <v>549</v>
      </c>
      <c r="F3" s="686" t="s">
        <v>1265</v>
      </c>
      <c r="G3" s="686" t="s">
        <v>533</v>
      </c>
      <c r="H3" s="783" t="s">
        <v>547</v>
      </c>
      <c r="I3" s="779" t="s">
        <v>1090</v>
      </c>
    </row>
    <row r="4" spans="2:9" s="2" customFormat="1" ht="30.75" customHeight="1" x14ac:dyDescent="0.2">
      <c r="B4" s="691"/>
      <c r="C4" s="687"/>
      <c r="D4" s="687"/>
      <c r="E4" s="687"/>
      <c r="F4" s="687"/>
      <c r="G4" s="687"/>
      <c r="H4" s="784"/>
      <c r="I4" s="689"/>
    </row>
    <row r="5" spans="2:9" ht="46.5" customHeight="1" x14ac:dyDescent="0.2">
      <c r="B5" s="479" t="s">
        <v>534</v>
      </c>
      <c r="C5" s="369">
        <v>9023.27</v>
      </c>
      <c r="D5" s="369">
        <v>0</v>
      </c>
      <c r="E5" s="369">
        <f>'PAVIMENTAÇÃO ACESSO'!R7</f>
        <v>6278.27</v>
      </c>
      <c r="F5" s="369">
        <f>'PAVIMENTAÇÃO LOTEAMENTO'!R11</f>
        <v>1995.12</v>
      </c>
      <c r="G5" s="478">
        <f>C5-D5-E5-F5</f>
        <v>749.88000000000011</v>
      </c>
      <c r="H5" s="490">
        <f>(3*0.2*0.3)*2</f>
        <v>0.36000000000000004</v>
      </c>
      <c r="I5" s="480">
        <f>((5*150)+(2*318))*3</f>
        <v>4158</v>
      </c>
    </row>
    <row r="6" spans="2:9" ht="13.5" thickBot="1" x14ac:dyDescent="0.25">
      <c r="B6" s="481" t="s">
        <v>20</v>
      </c>
      <c r="C6" s="482">
        <f t="shared" ref="C6:I6" si="0">SUM(C5:C5)</f>
        <v>9023.27</v>
      </c>
      <c r="D6" s="482">
        <f t="shared" si="0"/>
        <v>0</v>
      </c>
      <c r="E6" s="482">
        <f t="shared" si="0"/>
        <v>6278.27</v>
      </c>
      <c r="F6" s="482">
        <f t="shared" si="0"/>
        <v>1995.12</v>
      </c>
      <c r="G6" s="482">
        <f t="shared" si="0"/>
        <v>749.88000000000011</v>
      </c>
      <c r="H6" s="491">
        <f t="shared" si="0"/>
        <v>0.36000000000000004</v>
      </c>
      <c r="I6" s="483">
        <f t="shared" si="0"/>
        <v>4158</v>
      </c>
    </row>
    <row r="7" spans="2:9" x14ac:dyDescent="0.2">
      <c r="B7" s="6"/>
      <c r="C7" s="6"/>
      <c r="D7" s="6"/>
      <c r="E7" s="6"/>
      <c r="F7" s="6"/>
      <c r="G7" s="6"/>
      <c r="H7" s="6"/>
      <c r="I7" s="6"/>
    </row>
    <row r="8" spans="2:9" ht="20.100000000000001" customHeight="1" x14ac:dyDescent="0.2">
      <c r="B8" s="6"/>
      <c r="C8" s="13" t="s">
        <v>535</v>
      </c>
      <c r="D8" s="9">
        <f>TRUNC(G6*1.3,2)</f>
        <v>974.84</v>
      </c>
      <c r="E8" s="15" t="s">
        <v>3</v>
      </c>
      <c r="F8" s="15"/>
      <c r="H8" s="15"/>
      <c r="I8" s="15"/>
    </row>
    <row r="9" spans="2:9" ht="20.100000000000001" customHeight="1" x14ac:dyDescent="0.2">
      <c r="B9" s="66"/>
      <c r="C9" s="13" t="s">
        <v>536</v>
      </c>
      <c r="D9" s="9">
        <f>TRUNC(D8*DMT!F12,2)</f>
        <v>11893.04</v>
      </c>
      <c r="E9" s="15" t="s">
        <v>21</v>
      </c>
      <c r="F9" s="15"/>
      <c r="H9" s="15"/>
      <c r="I9" s="15"/>
    </row>
    <row r="10" spans="2:9" ht="20.100000000000001" hidden="1" customHeight="1" x14ac:dyDescent="0.2">
      <c r="B10" s="3"/>
      <c r="C10" s="13" t="s">
        <v>537</v>
      </c>
      <c r="D10" s="390">
        <f>TRUNC(D6*1.3,2)</f>
        <v>0</v>
      </c>
      <c r="E10" s="15" t="s">
        <v>3</v>
      </c>
      <c r="F10" s="15"/>
      <c r="H10" s="15"/>
      <c r="I10" s="15"/>
    </row>
    <row r="11" spans="2:9" ht="20.100000000000001" hidden="1" customHeight="1" x14ac:dyDescent="0.2">
      <c r="B11" s="12"/>
      <c r="C11" s="13" t="s">
        <v>288</v>
      </c>
      <c r="D11" s="390">
        <f>D6</f>
        <v>0</v>
      </c>
      <c r="E11" s="15" t="s">
        <v>3</v>
      </c>
      <c r="F11" s="15"/>
      <c r="H11" s="15"/>
      <c r="I11" s="15"/>
    </row>
    <row r="12" spans="2:9" ht="20.100000000000001" customHeight="1" x14ac:dyDescent="0.2">
      <c r="B12" s="12"/>
      <c r="C12" s="13" t="s">
        <v>548</v>
      </c>
      <c r="D12" s="9">
        <f>TRUNC(H6*DMT!F9,2)</f>
        <v>4.3899999999999997</v>
      </c>
      <c r="E12" s="15" t="s">
        <v>21</v>
      </c>
      <c r="F12" s="15"/>
    </row>
    <row r="13" spans="2:9" ht="20.100000000000001" customHeight="1" x14ac:dyDescent="0.2">
      <c r="C13" s="13" t="s">
        <v>1094</v>
      </c>
      <c r="D13" s="9">
        <v>0.03</v>
      </c>
      <c r="E13" s="15" t="s">
        <v>1095</v>
      </c>
      <c r="F13" s="15"/>
    </row>
    <row r="14" spans="2:9" ht="20.100000000000001" customHeight="1" x14ac:dyDescent="0.2">
      <c r="B14" s="12"/>
      <c r="C14" s="13" t="s">
        <v>1092</v>
      </c>
      <c r="D14" s="9">
        <f>TRUNC(I6*D13*30,2)</f>
        <v>3742.2</v>
      </c>
      <c r="E14" s="15" t="s">
        <v>82</v>
      </c>
      <c r="F14" s="15"/>
    </row>
    <row r="15" spans="2:9" ht="20.100000000000001" customHeight="1" x14ac:dyDescent="0.2">
      <c r="C15" s="13" t="s">
        <v>1093</v>
      </c>
      <c r="D15" s="15">
        <f>TRUNC(I6*D13*(DMT!F10-30),2)</f>
        <v>698.54</v>
      </c>
      <c r="E15" s="15" t="s">
        <v>82</v>
      </c>
      <c r="F15" s="15"/>
    </row>
    <row r="16" spans="2:9" ht="20.100000000000001" customHeight="1" x14ac:dyDescent="0.2">
      <c r="B16" s="6" t="s">
        <v>542</v>
      </c>
      <c r="D16" s="3"/>
      <c r="E16" s="3"/>
      <c r="F16" s="3"/>
    </row>
    <row r="17" spans="2:9" ht="20.100000000000001" customHeight="1" x14ac:dyDescent="0.2">
      <c r="B17" s="3" t="s">
        <v>550</v>
      </c>
      <c r="D17" s="3"/>
      <c r="E17" s="3"/>
      <c r="F17" s="3"/>
    </row>
    <row r="18" spans="2:9" ht="20.100000000000001" customHeight="1" x14ac:dyDescent="0.2">
      <c r="C18" s="477"/>
      <c r="D18" s="477"/>
      <c r="E18" s="477"/>
      <c r="F18" s="477"/>
      <c r="G18" s="477"/>
      <c r="H18" s="477"/>
      <c r="I18" s="477"/>
    </row>
  </sheetData>
  <mergeCells count="9">
    <mergeCell ref="I3:I4"/>
    <mergeCell ref="B2:I2"/>
    <mergeCell ref="H3:H4"/>
    <mergeCell ref="B3:B4"/>
    <mergeCell ref="C3:C4"/>
    <mergeCell ref="D3:D4"/>
    <mergeCell ref="G3:G4"/>
    <mergeCell ref="E3:E4"/>
    <mergeCell ref="F3:F4"/>
  </mergeCells>
  <dataValidations disablePrompts="1" count="1">
    <dataValidation type="list" allowBlank="1" showInputMessage="1" showErrorMessage="1" sqref="WVG983029:WVG983035 WBO983029:WBO983035 VRS983029:VRS983035 VHW983029:VHW983035 UYA983029:UYA983035 UOE983029:UOE983035 UEI983029:UEI983035 TUM983029:TUM983035 TKQ983029:TKQ983035 TAU983029:TAU983035 SQY983029:SQY983035 SHC983029:SHC983035 RXG983029:RXG983035 RNK983029:RNK983035 RDO983029:RDO983035 QTS983029:QTS983035 QJW983029:QJW983035 QAA983029:QAA983035 PQE983029:PQE983035 PGI983029:PGI983035 OWM983029:OWM983035 OMQ983029:OMQ983035 OCU983029:OCU983035 NSY983029:NSY983035 NJC983029:NJC983035 MZG983029:MZG983035 MPK983029:MPK983035 MFO983029:MFO983035 LVS983029:LVS983035 LLW983029:LLW983035 LCA983029:LCA983035 KSE983029:KSE983035 KII983029:KII983035 JYM983029:JYM983035 JOQ983029:JOQ983035 JEU983029:JEU983035 IUY983029:IUY983035 ILC983029:ILC983035 IBG983029:IBG983035 HRK983029:HRK983035 HHO983029:HHO983035 GXS983029:GXS983035 GNW983029:GNW983035 GEA983029:GEA983035 FUE983029:FUE983035 FKI983029:FKI983035 FAM983029:FAM983035 EQQ983029:EQQ983035 EGU983029:EGU983035 DWY983029:DWY983035 DNC983029:DNC983035 DDG983029:DDG983035 CTK983029:CTK983035 CJO983029:CJO983035 BZS983029:BZS983035 BPW983029:BPW983035 BGA983029:BGA983035 AWE983029:AWE983035 AMI983029:AMI983035 ACM983029:ACM983035 SQ983029:SQ983035 IU983029:IU983035 WVG917493:WVG917499 WLK917493:WLK917499 WBO917493:WBO917499 VRS917493:VRS917499 VHW917493:VHW917499 UYA917493:UYA917499 UOE917493:UOE917499 UEI917493:UEI917499 TUM917493:TUM917499 TKQ917493:TKQ917499 TAU917493:TAU917499 SQY917493:SQY917499 SHC917493:SHC917499 RXG917493:RXG917499 RNK917493:RNK917499 RDO917493:RDO917499 QTS917493:QTS917499 QJW917493:QJW917499 QAA917493:QAA917499 PQE917493:PQE917499 PGI917493:PGI917499 OWM917493:OWM917499 OMQ917493:OMQ917499 OCU917493:OCU917499 NSY917493:NSY917499 NJC917493:NJC917499 MZG917493:MZG917499 MPK917493:MPK917499 MFO917493:MFO917499 LVS917493:LVS917499 LLW917493:LLW917499 LCA917493:LCA917499 KSE917493:KSE917499 KII917493:KII917499 JYM917493:JYM917499 JOQ917493:JOQ917499 JEU917493:JEU917499 IUY917493:IUY917499 ILC917493:ILC917499 IBG917493:IBG917499 HRK917493:HRK917499 HHO917493:HHO917499 GXS917493:GXS917499 GNW917493:GNW917499 GEA917493:GEA917499 FUE917493:FUE917499 FKI917493:FKI917499 FAM917493:FAM917499 EQQ917493:EQQ917499 EGU917493:EGU917499 DWY917493:DWY917499 DNC917493:DNC917499 DDG917493:DDG917499 CTK917493:CTK917499 CJO917493:CJO917499 BZS917493:BZS917499 BPW917493:BPW917499 BGA917493:BGA917499 AWE917493:AWE917499 AMI917493:AMI917499 ACM917493:ACM917499 SQ917493:SQ917499 IU917493:IU917499 WVG851957:WVG851963 WLK851957:WLK851963 WBO851957:WBO851963 VRS851957:VRS851963 VHW851957:VHW851963 UYA851957:UYA851963 UOE851957:UOE851963 UEI851957:UEI851963 TUM851957:TUM851963 TKQ851957:TKQ851963 TAU851957:TAU851963 SQY851957:SQY851963 SHC851957:SHC851963 RXG851957:RXG851963 RNK851957:RNK851963 RDO851957:RDO851963 QTS851957:QTS851963 QJW851957:QJW851963 QAA851957:QAA851963 PQE851957:PQE851963 PGI851957:PGI851963 OWM851957:OWM851963 OMQ851957:OMQ851963 OCU851957:OCU851963 NSY851957:NSY851963 NJC851957:NJC851963 MZG851957:MZG851963 MPK851957:MPK851963 MFO851957:MFO851963 LVS851957:LVS851963 LLW851957:LLW851963 LCA851957:LCA851963 KSE851957:KSE851963 KII851957:KII851963 JYM851957:JYM851963 JOQ851957:JOQ851963 JEU851957:JEU851963 IUY851957:IUY851963 ILC851957:ILC851963 IBG851957:IBG851963 HRK851957:HRK851963 HHO851957:HHO851963 GXS851957:GXS851963 GNW851957:GNW851963 GEA851957:GEA851963 FUE851957:FUE851963 FKI851957:FKI851963 FAM851957:FAM851963 EQQ851957:EQQ851963 EGU851957:EGU851963 DWY851957:DWY851963 DNC851957:DNC851963 DDG851957:DDG851963 CTK851957:CTK851963 CJO851957:CJO851963 BZS851957:BZS851963 BPW851957:BPW851963 BGA851957:BGA851963 AWE851957:AWE851963 AMI851957:AMI851963 ACM851957:ACM851963 SQ851957:SQ851963 IU851957:IU851963 WVG786421:WVG786427 WLK786421:WLK786427 WBO786421:WBO786427 VRS786421:VRS786427 VHW786421:VHW786427 UYA786421:UYA786427 UOE786421:UOE786427 UEI786421:UEI786427 TUM786421:TUM786427 TKQ786421:TKQ786427 TAU786421:TAU786427 SQY786421:SQY786427 SHC786421:SHC786427 RXG786421:RXG786427 RNK786421:RNK786427 RDO786421:RDO786427 QTS786421:QTS786427 QJW786421:QJW786427 QAA786421:QAA786427 PQE786421:PQE786427 PGI786421:PGI786427 OWM786421:OWM786427 OMQ786421:OMQ786427 OCU786421:OCU786427 NSY786421:NSY786427 NJC786421:NJC786427 MZG786421:MZG786427 MPK786421:MPK786427 MFO786421:MFO786427 LVS786421:LVS786427 LLW786421:LLW786427 LCA786421:LCA786427 KSE786421:KSE786427 KII786421:KII786427 JYM786421:JYM786427 JOQ786421:JOQ786427 JEU786421:JEU786427 IUY786421:IUY786427 ILC786421:ILC786427 IBG786421:IBG786427 HRK786421:HRK786427 HHO786421:HHO786427 GXS786421:GXS786427 GNW786421:GNW786427 GEA786421:GEA786427 FUE786421:FUE786427 FKI786421:FKI786427 FAM786421:FAM786427 EQQ786421:EQQ786427 EGU786421:EGU786427 DWY786421:DWY786427 DNC786421:DNC786427 DDG786421:DDG786427 CTK786421:CTK786427 CJO786421:CJO786427 BZS786421:BZS786427 BPW786421:BPW786427 BGA786421:BGA786427 AWE786421:AWE786427 AMI786421:AMI786427 ACM786421:ACM786427 SQ786421:SQ786427 IU786421:IU786427 WVG720885:WVG720891 WLK720885:WLK720891 WBO720885:WBO720891 VRS720885:VRS720891 VHW720885:VHW720891 UYA720885:UYA720891 UOE720885:UOE720891 UEI720885:UEI720891 TUM720885:TUM720891 TKQ720885:TKQ720891 TAU720885:TAU720891 SQY720885:SQY720891 SHC720885:SHC720891 RXG720885:RXG720891 RNK720885:RNK720891 RDO720885:RDO720891 QTS720885:QTS720891 QJW720885:QJW720891 QAA720885:QAA720891 PQE720885:PQE720891 PGI720885:PGI720891 OWM720885:OWM720891 OMQ720885:OMQ720891 OCU720885:OCU720891 NSY720885:NSY720891 NJC720885:NJC720891 MZG720885:MZG720891 MPK720885:MPK720891 MFO720885:MFO720891 LVS720885:LVS720891 LLW720885:LLW720891 LCA720885:LCA720891 KSE720885:KSE720891 KII720885:KII720891 JYM720885:JYM720891 JOQ720885:JOQ720891 JEU720885:JEU720891 IUY720885:IUY720891 ILC720885:ILC720891 IBG720885:IBG720891 HRK720885:HRK720891 HHO720885:HHO720891 GXS720885:GXS720891 GNW720885:GNW720891 GEA720885:GEA720891 FUE720885:FUE720891 FKI720885:FKI720891 FAM720885:FAM720891 EQQ720885:EQQ720891 EGU720885:EGU720891 DWY720885:DWY720891 DNC720885:DNC720891 DDG720885:DDG720891 CTK720885:CTK720891 CJO720885:CJO720891 BZS720885:BZS720891 BPW720885:BPW720891 BGA720885:BGA720891 AWE720885:AWE720891 AMI720885:AMI720891 ACM720885:ACM720891 SQ720885:SQ720891 IU720885:IU720891 WVG655349:WVG655355 WLK655349:WLK655355 WBO655349:WBO655355 VRS655349:VRS655355 VHW655349:VHW655355 UYA655349:UYA655355 UOE655349:UOE655355 UEI655349:UEI655355 TUM655349:TUM655355 TKQ655349:TKQ655355 TAU655349:TAU655355 SQY655349:SQY655355 SHC655349:SHC655355 RXG655349:RXG655355 RNK655349:RNK655355 RDO655349:RDO655355 QTS655349:QTS655355 QJW655349:QJW655355 QAA655349:QAA655355 PQE655349:PQE655355 PGI655349:PGI655355 OWM655349:OWM655355 OMQ655349:OMQ655355 OCU655349:OCU655355 NSY655349:NSY655355 NJC655349:NJC655355 MZG655349:MZG655355 MPK655349:MPK655355 MFO655349:MFO655355 LVS655349:LVS655355 LLW655349:LLW655355 LCA655349:LCA655355 KSE655349:KSE655355 KII655349:KII655355 JYM655349:JYM655355 JOQ655349:JOQ655355 JEU655349:JEU655355 IUY655349:IUY655355 ILC655349:ILC655355 IBG655349:IBG655355 HRK655349:HRK655355 HHO655349:HHO655355 GXS655349:GXS655355 GNW655349:GNW655355 GEA655349:GEA655355 FUE655349:FUE655355 FKI655349:FKI655355 FAM655349:FAM655355 EQQ655349:EQQ655355 EGU655349:EGU655355 DWY655349:DWY655355 DNC655349:DNC655355 DDG655349:DDG655355 CTK655349:CTK655355 CJO655349:CJO655355 BZS655349:BZS655355 BPW655349:BPW655355 BGA655349:BGA655355 AWE655349:AWE655355 AMI655349:AMI655355 ACM655349:ACM655355 SQ655349:SQ655355 IU655349:IU655355 WVG589813:WVG589819 WLK589813:WLK589819 WBO589813:WBO589819 VRS589813:VRS589819 VHW589813:VHW589819 UYA589813:UYA589819 UOE589813:UOE589819 UEI589813:UEI589819 TUM589813:TUM589819 TKQ589813:TKQ589819 TAU589813:TAU589819 SQY589813:SQY589819 SHC589813:SHC589819 RXG589813:RXG589819 RNK589813:RNK589819 RDO589813:RDO589819 QTS589813:QTS589819 QJW589813:QJW589819 QAA589813:QAA589819 PQE589813:PQE589819 PGI589813:PGI589819 OWM589813:OWM589819 OMQ589813:OMQ589819 OCU589813:OCU589819 NSY589813:NSY589819 NJC589813:NJC589819 MZG589813:MZG589819 MPK589813:MPK589819 MFO589813:MFO589819 LVS589813:LVS589819 LLW589813:LLW589819 LCA589813:LCA589819 KSE589813:KSE589819 KII589813:KII589819 JYM589813:JYM589819 JOQ589813:JOQ589819 JEU589813:JEU589819 IUY589813:IUY589819 ILC589813:ILC589819 IBG589813:IBG589819 HRK589813:HRK589819 HHO589813:HHO589819 GXS589813:GXS589819 GNW589813:GNW589819 GEA589813:GEA589819 FUE589813:FUE589819 FKI589813:FKI589819 FAM589813:FAM589819 EQQ589813:EQQ589819 EGU589813:EGU589819 DWY589813:DWY589819 DNC589813:DNC589819 DDG589813:DDG589819 CTK589813:CTK589819 CJO589813:CJO589819 BZS589813:BZS589819 BPW589813:BPW589819 BGA589813:BGA589819 AWE589813:AWE589819 AMI589813:AMI589819 ACM589813:ACM589819 SQ589813:SQ589819 IU589813:IU589819 WVG524277:WVG524283 WLK524277:WLK524283 WBO524277:WBO524283 VRS524277:VRS524283 VHW524277:VHW524283 UYA524277:UYA524283 UOE524277:UOE524283 UEI524277:UEI524283 TUM524277:TUM524283 TKQ524277:TKQ524283 TAU524277:TAU524283 SQY524277:SQY524283 SHC524277:SHC524283 RXG524277:RXG524283 RNK524277:RNK524283 RDO524277:RDO524283 QTS524277:QTS524283 QJW524277:QJW524283 QAA524277:QAA524283 PQE524277:PQE524283 PGI524277:PGI524283 OWM524277:OWM524283 OMQ524277:OMQ524283 OCU524277:OCU524283 NSY524277:NSY524283 NJC524277:NJC524283 MZG524277:MZG524283 MPK524277:MPK524283 MFO524277:MFO524283 LVS524277:LVS524283 LLW524277:LLW524283 LCA524277:LCA524283 KSE524277:KSE524283 KII524277:KII524283 JYM524277:JYM524283 JOQ524277:JOQ524283 JEU524277:JEU524283 IUY524277:IUY524283 ILC524277:ILC524283 IBG524277:IBG524283 HRK524277:HRK524283 HHO524277:HHO524283 GXS524277:GXS524283 GNW524277:GNW524283 GEA524277:GEA524283 FUE524277:FUE524283 FKI524277:FKI524283 FAM524277:FAM524283 EQQ524277:EQQ524283 EGU524277:EGU524283 DWY524277:DWY524283 DNC524277:DNC524283 DDG524277:DDG524283 CTK524277:CTK524283 CJO524277:CJO524283 BZS524277:BZS524283 BPW524277:BPW524283 BGA524277:BGA524283 AWE524277:AWE524283 AMI524277:AMI524283 ACM524277:ACM524283 SQ524277:SQ524283 IU524277:IU524283 WVG458741:WVG458747 WLK458741:WLK458747 WBO458741:WBO458747 VRS458741:VRS458747 VHW458741:VHW458747 UYA458741:UYA458747 UOE458741:UOE458747 UEI458741:UEI458747 TUM458741:TUM458747 TKQ458741:TKQ458747 TAU458741:TAU458747 SQY458741:SQY458747 SHC458741:SHC458747 RXG458741:RXG458747 RNK458741:RNK458747 RDO458741:RDO458747 QTS458741:QTS458747 QJW458741:QJW458747 QAA458741:QAA458747 PQE458741:PQE458747 PGI458741:PGI458747 OWM458741:OWM458747 OMQ458741:OMQ458747 OCU458741:OCU458747 NSY458741:NSY458747 NJC458741:NJC458747 MZG458741:MZG458747 MPK458741:MPK458747 MFO458741:MFO458747 LVS458741:LVS458747 LLW458741:LLW458747 LCA458741:LCA458747 KSE458741:KSE458747 KII458741:KII458747 JYM458741:JYM458747 JOQ458741:JOQ458747 JEU458741:JEU458747 IUY458741:IUY458747 ILC458741:ILC458747 IBG458741:IBG458747 HRK458741:HRK458747 HHO458741:HHO458747 GXS458741:GXS458747 GNW458741:GNW458747 GEA458741:GEA458747 FUE458741:FUE458747 FKI458741:FKI458747 FAM458741:FAM458747 EQQ458741:EQQ458747 EGU458741:EGU458747 DWY458741:DWY458747 DNC458741:DNC458747 DDG458741:DDG458747 CTK458741:CTK458747 CJO458741:CJO458747 BZS458741:BZS458747 BPW458741:BPW458747 BGA458741:BGA458747 AWE458741:AWE458747 AMI458741:AMI458747 ACM458741:ACM458747 SQ458741:SQ458747 IU458741:IU458747 WVG393205:WVG393211 WLK393205:WLK393211 WBO393205:WBO393211 VRS393205:VRS393211 VHW393205:VHW393211 UYA393205:UYA393211 UOE393205:UOE393211 UEI393205:UEI393211 TUM393205:TUM393211 TKQ393205:TKQ393211 TAU393205:TAU393211 SQY393205:SQY393211 SHC393205:SHC393211 RXG393205:RXG393211 RNK393205:RNK393211 RDO393205:RDO393211 QTS393205:QTS393211 QJW393205:QJW393211 QAA393205:QAA393211 PQE393205:PQE393211 PGI393205:PGI393211 OWM393205:OWM393211 OMQ393205:OMQ393211 OCU393205:OCU393211 NSY393205:NSY393211 NJC393205:NJC393211 MZG393205:MZG393211 MPK393205:MPK393211 MFO393205:MFO393211 LVS393205:LVS393211 LLW393205:LLW393211 LCA393205:LCA393211 KSE393205:KSE393211 KII393205:KII393211 JYM393205:JYM393211 JOQ393205:JOQ393211 JEU393205:JEU393211 IUY393205:IUY393211 ILC393205:ILC393211 IBG393205:IBG393211 HRK393205:HRK393211 HHO393205:HHO393211 GXS393205:GXS393211 GNW393205:GNW393211 GEA393205:GEA393211 FUE393205:FUE393211 FKI393205:FKI393211 FAM393205:FAM393211 EQQ393205:EQQ393211 EGU393205:EGU393211 DWY393205:DWY393211 DNC393205:DNC393211 DDG393205:DDG393211 CTK393205:CTK393211 CJO393205:CJO393211 BZS393205:BZS393211 BPW393205:BPW393211 BGA393205:BGA393211 AWE393205:AWE393211 AMI393205:AMI393211 ACM393205:ACM393211 SQ393205:SQ393211 IU393205:IU393211 WVG327669:WVG327675 WLK327669:WLK327675 WBO327669:WBO327675 VRS327669:VRS327675 VHW327669:VHW327675 UYA327669:UYA327675 UOE327669:UOE327675 UEI327669:UEI327675 TUM327669:TUM327675 TKQ327669:TKQ327675 TAU327669:TAU327675 SQY327669:SQY327675 SHC327669:SHC327675 RXG327669:RXG327675 RNK327669:RNK327675 RDO327669:RDO327675 QTS327669:QTS327675 QJW327669:QJW327675 QAA327669:QAA327675 PQE327669:PQE327675 PGI327669:PGI327675 OWM327669:OWM327675 OMQ327669:OMQ327675 OCU327669:OCU327675 NSY327669:NSY327675 NJC327669:NJC327675 MZG327669:MZG327675 MPK327669:MPK327675 MFO327669:MFO327675 LVS327669:LVS327675 LLW327669:LLW327675 LCA327669:LCA327675 KSE327669:KSE327675 KII327669:KII327675 JYM327669:JYM327675 JOQ327669:JOQ327675 JEU327669:JEU327675 IUY327669:IUY327675 ILC327669:ILC327675 IBG327669:IBG327675 HRK327669:HRK327675 HHO327669:HHO327675 GXS327669:GXS327675 GNW327669:GNW327675 GEA327669:GEA327675 FUE327669:FUE327675 FKI327669:FKI327675 FAM327669:FAM327675 EQQ327669:EQQ327675 EGU327669:EGU327675 DWY327669:DWY327675 DNC327669:DNC327675 DDG327669:DDG327675 CTK327669:CTK327675 CJO327669:CJO327675 BZS327669:BZS327675 BPW327669:BPW327675 BGA327669:BGA327675 AWE327669:AWE327675 AMI327669:AMI327675 ACM327669:ACM327675 SQ327669:SQ327675 IU327669:IU327675 WVG262133:WVG262139 WLK262133:WLK262139 WBO262133:WBO262139 VRS262133:VRS262139 VHW262133:VHW262139 UYA262133:UYA262139 UOE262133:UOE262139 UEI262133:UEI262139 TUM262133:TUM262139 TKQ262133:TKQ262139 TAU262133:TAU262139 SQY262133:SQY262139 SHC262133:SHC262139 RXG262133:RXG262139 RNK262133:RNK262139 RDO262133:RDO262139 QTS262133:QTS262139 QJW262133:QJW262139 QAA262133:QAA262139 PQE262133:PQE262139 PGI262133:PGI262139 OWM262133:OWM262139 OMQ262133:OMQ262139 OCU262133:OCU262139 NSY262133:NSY262139 NJC262133:NJC262139 MZG262133:MZG262139 MPK262133:MPK262139 MFO262133:MFO262139 LVS262133:LVS262139 LLW262133:LLW262139 LCA262133:LCA262139 KSE262133:KSE262139 KII262133:KII262139 JYM262133:JYM262139 JOQ262133:JOQ262139 JEU262133:JEU262139 IUY262133:IUY262139 ILC262133:ILC262139 IBG262133:IBG262139 HRK262133:HRK262139 HHO262133:HHO262139 GXS262133:GXS262139 GNW262133:GNW262139 GEA262133:GEA262139 FUE262133:FUE262139 FKI262133:FKI262139 FAM262133:FAM262139 EQQ262133:EQQ262139 EGU262133:EGU262139 DWY262133:DWY262139 DNC262133:DNC262139 DDG262133:DDG262139 CTK262133:CTK262139 CJO262133:CJO262139 BZS262133:BZS262139 BPW262133:BPW262139 BGA262133:BGA262139 AWE262133:AWE262139 AMI262133:AMI262139 ACM262133:ACM262139 SQ262133:SQ262139 IU262133:IU262139 WVG196597:WVG196603 WLK196597:WLK196603 WBO196597:WBO196603 VRS196597:VRS196603 VHW196597:VHW196603 UYA196597:UYA196603 UOE196597:UOE196603 UEI196597:UEI196603 TUM196597:TUM196603 TKQ196597:TKQ196603 TAU196597:TAU196603 SQY196597:SQY196603 SHC196597:SHC196603 RXG196597:RXG196603 RNK196597:RNK196603 RDO196597:RDO196603 QTS196597:QTS196603 QJW196597:QJW196603 QAA196597:QAA196603 PQE196597:PQE196603 PGI196597:PGI196603 OWM196597:OWM196603 OMQ196597:OMQ196603 OCU196597:OCU196603 NSY196597:NSY196603 NJC196597:NJC196603 MZG196597:MZG196603 MPK196597:MPK196603 MFO196597:MFO196603 LVS196597:LVS196603 LLW196597:LLW196603 LCA196597:LCA196603 KSE196597:KSE196603 KII196597:KII196603 JYM196597:JYM196603 JOQ196597:JOQ196603 JEU196597:JEU196603 IUY196597:IUY196603 ILC196597:ILC196603 IBG196597:IBG196603 HRK196597:HRK196603 HHO196597:HHO196603 GXS196597:GXS196603 GNW196597:GNW196603 GEA196597:GEA196603 FUE196597:FUE196603 FKI196597:FKI196603 FAM196597:FAM196603 EQQ196597:EQQ196603 EGU196597:EGU196603 DWY196597:DWY196603 DNC196597:DNC196603 DDG196597:DDG196603 CTK196597:CTK196603 CJO196597:CJO196603 BZS196597:BZS196603 BPW196597:BPW196603 BGA196597:BGA196603 AWE196597:AWE196603 AMI196597:AMI196603 ACM196597:ACM196603 SQ196597:SQ196603 IU196597:IU196603 WVG131061:WVG131067 WLK131061:WLK131067 WBO131061:WBO131067 VRS131061:VRS131067 VHW131061:VHW131067 UYA131061:UYA131067 UOE131061:UOE131067 UEI131061:UEI131067 TUM131061:TUM131067 TKQ131061:TKQ131067 TAU131061:TAU131067 SQY131061:SQY131067 SHC131061:SHC131067 RXG131061:RXG131067 RNK131061:RNK131067 RDO131061:RDO131067 QTS131061:QTS131067 QJW131061:QJW131067 QAA131061:QAA131067 PQE131061:PQE131067 PGI131061:PGI131067 OWM131061:OWM131067 OMQ131061:OMQ131067 OCU131061:OCU131067 NSY131061:NSY131067 NJC131061:NJC131067 MZG131061:MZG131067 MPK131061:MPK131067 MFO131061:MFO131067 LVS131061:LVS131067 LLW131061:LLW131067 LCA131061:LCA131067 KSE131061:KSE131067 KII131061:KII131067 JYM131061:JYM131067 JOQ131061:JOQ131067 JEU131061:JEU131067 IUY131061:IUY131067 ILC131061:ILC131067 IBG131061:IBG131067 HRK131061:HRK131067 HHO131061:HHO131067 GXS131061:GXS131067 GNW131061:GNW131067 GEA131061:GEA131067 FUE131061:FUE131067 FKI131061:FKI131067 FAM131061:FAM131067 EQQ131061:EQQ131067 EGU131061:EGU131067 DWY131061:DWY131067 DNC131061:DNC131067 DDG131061:DDG131067 CTK131061:CTK131067 CJO131061:CJO131067 BZS131061:BZS131067 BPW131061:BPW131067 BGA131061:BGA131067 AWE131061:AWE131067 AMI131061:AMI131067 ACM131061:ACM131067 SQ131061:SQ131067 IU131061:IU131067 WVG65525:WVG65531 WLK65525:WLK65531 WBO65525:WBO65531 VRS65525:VRS65531 VHW65525:VHW65531 UYA65525:UYA65531 UOE65525:UOE65531 UEI65525:UEI65531 TUM65525:TUM65531 TKQ65525:TKQ65531 TAU65525:TAU65531 SQY65525:SQY65531 SHC65525:SHC65531 RXG65525:RXG65531 RNK65525:RNK65531 RDO65525:RDO65531 QTS65525:QTS65531 QJW65525:QJW65531 QAA65525:QAA65531 PQE65525:PQE65531 PGI65525:PGI65531 OWM65525:OWM65531 OMQ65525:OMQ65531 OCU65525:OCU65531 NSY65525:NSY65531 NJC65525:NJC65531 MZG65525:MZG65531 MPK65525:MPK65531 MFO65525:MFO65531 LVS65525:LVS65531 LLW65525:LLW65531 LCA65525:LCA65531 KSE65525:KSE65531 KII65525:KII65531 JYM65525:JYM65531 JOQ65525:JOQ65531 JEU65525:JEU65531 IUY65525:IUY65531 ILC65525:ILC65531 IBG65525:IBG65531 HRK65525:HRK65531 HHO65525:HHO65531 GXS65525:GXS65531 GNW65525:GNW65531 GEA65525:GEA65531 FUE65525:FUE65531 FKI65525:FKI65531 FAM65525:FAM65531 EQQ65525:EQQ65531 EGU65525:EGU65531 DWY65525:DWY65531 DNC65525:DNC65531 DDG65525:DDG65531 CTK65525:CTK65531 CJO65525:CJO65531 BZS65525:BZS65531 BPW65525:BPW65531 BGA65525:BGA65531 AWE65525:AWE65531 AMI65525:AMI65531 ACM65525:ACM65531 SQ65525:SQ65531 IU65525:IU65531 WLK983029:WLK983035 WVO983029:WVO983035 JC65525:JC65531 SY65525:SY65531 ACU65525:ACU65531 AMQ65525:AMQ65531 AWM65525:AWM65531 BGI65525:BGI65531 BQE65525:BQE65531 CAA65525:CAA65531 CJW65525:CJW65531 CTS65525:CTS65531 DDO65525:DDO65531 DNK65525:DNK65531 DXG65525:DXG65531 EHC65525:EHC65531 EQY65525:EQY65531 FAU65525:FAU65531 FKQ65525:FKQ65531 FUM65525:FUM65531 GEI65525:GEI65531 GOE65525:GOE65531 GYA65525:GYA65531 HHW65525:HHW65531 HRS65525:HRS65531 IBO65525:IBO65531 ILK65525:ILK65531 IVG65525:IVG65531 JFC65525:JFC65531 JOY65525:JOY65531 JYU65525:JYU65531 KIQ65525:KIQ65531 KSM65525:KSM65531 LCI65525:LCI65531 LME65525:LME65531 LWA65525:LWA65531 MFW65525:MFW65531 MPS65525:MPS65531 MZO65525:MZO65531 NJK65525:NJK65531 NTG65525:NTG65531 ODC65525:ODC65531 OMY65525:OMY65531 OWU65525:OWU65531 PGQ65525:PGQ65531 PQM65525:PQM65531 QAI65525:QAI65531 QKE65525:QKE65531 QUA65525:QUA65531 RDW65525:RDW65531 RNS65525:RNS65531 RXO65525:RXO65531 SHK65525:SHK65531 SRG65525:SRG65531 TBC65525:TBC65531 TKY65525:TKY65531 TUU65525:TUU65531 UEQ65525:UEQ65531 UOM65525:UOM65531 UYI65525:UYI65531 VIE65525:VIE65531 VSA65525:VSA65531 WBW65525:WBW65531 WLS65525:WLS65531 WVO65525:WVO65531 JC131061:JC131067 SY131061:SY131067 ACU131061:ACU131067 AMQ131061:AMQ131067 AWM131061:AWM131067 BGI131061:BGI131067 BQE131061:BQE131067 CAA131061:CAA131067 CJW131061:CJW131067 CTS131061:CTS131067 DDO131061:DDO131067 DNK131061:DNK131067 DXG131061:DXG131067 EHC131061:EHC131067 EQY131061:EQY131067 FAU131061:FAU131067 FKQ131061:FKQ131067 FUM131061:FUM131067 GEI131061:GEI131067 GOE131061:GOE131067 GYA131061:GYA131067 HHW131061:HHW131067 HRS131061:HRS131067 IBO131061:IBO131067 ILK131061:ILK131067 IVG131061:IVG131067 JFC131061:JFC131067 JOY131061:JOY131067 JYU131061:JYU131067 KIQ131061:KIQ131067 KSM131061:KSM131067 LCI131061:LCI131067 LME131061:LME131067 LWA131061:LWA131067 MFW131061:MFW131067 MPS131061:MPS131067 MZO131061:MZO131067 NJK131061:NJK131067 NTG131061:NTG131067 ODC131061:ODC131067 OMY131061:OMY131067 OWU131061:OWU131067 PGQ131061:PGQ131067 PQM131061:PQM131067 QAI131061:QAI131067 QKE131061:QKE131067 QUA131061:QUA131067 RDW131061:RDW131067 RNS131061:RNS131067 RXO131061:RXO131067 SHK131061:SHK131067 SRG131061:SRG131067 TBC131061:TBC131067 TKY131061:TKY131067 TUU131061:TUU131067 UEQ131061:UEQ131067 UOM131061:UOM131067 UYI131061:UYI131067 VIE131061:VIE131067 VSA131061:VSA131067 WBW131061:WBW131067 WLS131061:WLS131067 WVO131061:WVO131067 JC196597:JC196603 SY196597:SY196603 ACU196597:ACU196603 AMQ196597:AMQ196603 AWM196597:AWM196603 BGI196597:BGI196603 BQE196597:BQE196603 CAA196597:CAA196603 CJW196597:CJW196603 CTS196597:CTS196603 DDO196597:DDO196603 DNK196597:DNK196603 DXG196597:DXG196603 EHC196597:EHC196603 EQY196597:EQY196603 FAU196597:FAU196603 FKQ196597:FKQ196603 FUM196597:FUM196603 GEI196597:GEI196603 GOE196597:GOE196603 GYA196597:GYA196603 HHW196597:HHW196603 HRS196597:HRS196603 IBO196597:IBO196603 ILK196597:ILK196603 IVG196597:IVG196603 JFC196597:JFC196603 JOY196597:JOY196603 JYU196597:JYU196603 KIQ196597:KIQ196603 KSM196597:KSM196603 LCI196597:LCI196603 LME196597:LME196603 LWA196597:LWA196603 MFW196597:MFW196603 MPS196597:MPS196603 MZO196597:MZO196603 NJK196597:NJK196603 NTG196597:NTG196603 ODC196597:ODC196603 OMY196597:OMY196603 OWU196597:OWU196603 PGQ196597:PGQ196603 PQM196597:PQM196603 QAI196597:QAI196603 QKE196597:QKE196603 QUA196597:QUA196603 RDW196597:RDW196603 RNS196597:RNS196603 RXO196597:RXO196603 SHK196597:SHK196603 SRG196597:SRG196603 TBC196597:TBC196603 TKY196597:TKY196603 TUU196597:TUU196603 UEQ196597:UEQ196603 UOM196597:UOM196603 UYI196597:UYI196603 VIE196597:VIE196603 VSA196597:VSA196603 WBW196597:WBW196603 WLS196597:WLS196603 WVO196597:WVO196603 JC262133:JC262139 SY262133:SY262139 ACU262133:ACU262139 AMQ262133:AMQ262139 AWM262133:AWM262139 BGI262133:BGI262139 BQE262133:BQE262139 CAA262133:CAA262139 CJW262133:CJW262139 CTS262133:CTS262139 DDO262133:DDO262139 DNK262133:DNK262139 DXG262133:DXG262139 EHC262133:EHC262139 EQY262133:EQY262139 FAU262133:FAU262139 FKQ262133:FKQ262139 FUM262133:FUM262139 GEI262133:GEI262139 GOE262133:GOE262139 GYA262133:GYA262139 HHW262133:HHW262139 HRS262133:HRS262139 IBO262133:IBO262139 ILK262133:ILK262139 IVG262133:IVG262139 JFC262133:JFC262139 JOY262133:JOY262139 JYU262133:JYU262139 KIQ262133:KIQ262139 KSM262133:KSM262139 LCI262133:LCI262139 LME262133:LME262139 LWA262133:LWA262139 MFW262133:MFW262139 MPS262133:MPS262139 MZO262133:MZO262139 NJK262133:NJK262139 NTG262133:NTG262139 ODC262133:ODC262139 OMY262133:OMY262139 OWU262133:OWU262139 PGQ262133:PGQ262139 PQM262133:PQM262139 QAI262133:QAI262139 QKE262133:QKE262139 QUA262133:QUA262139 RDW262133:RDW262139 RNS262133:RNS262139 RXO262133:RXO262139 SHK262133:SHK262139 SRG262133:SRG262139 TBC262133:TBC262139 TKY262133:TKY262139 TUU262133:TUU262139 UEQ262133:UEQ262139 UOM262133:UOM262139 UYI262133:UYI262139 VIE262133:VIE262139 VSA262133:VSA262139 WBW262133:WBW262139 WLS262133:WLS262139 WVO262133:WVO262139 JC327669:JC327675 SY327669:SY327675 ACU327669:ACU327675 AMQ327669:AMQ327675 AWM327669:AWM327675 BGI327669:BGI327675 BQE327669:BQE327675 CAA327669:CAA327675 CJW327669:CJW327675 CTS327669:CTS327675 DDO327669:DDO327675 DNK327669:DNK327675 DXG327669:DXG327675 EHC327669:EHC327675 EQY327669:EQY327675 FAU327669:FAU327675 FKQ327669:FKQ327675 FUM327669:FUM327675 GEI327669:GEI327675 GOE327669:GOE327675 GYA327669:GYA327675 HHW327669:HHW327675 HRS327669:HRS327675 IBO327669:IBO327675 ILK327669:ILK327675 IVG327669:IVG327675 JFC327669:JFC327675 JOY327669:JOY327675 JYU327669:JYU327675 KIQ327669:KIQ327675 KSM327669:KSM327675 LCI327669:LCI327675 LME327669:LME327675 LWA327669:LWA327675 MFW327669:MFW327675 MPS327669:MPS327675 MZO327669:MZO327675 NJK327669:NJK327675 NTG327669:NTG327675 ODC327669:ODC327675 OMY327669:OMY327675 OWU327669:OWU327675 PGQ327669:PGQ327675 PQM327669:PQM327675 QAI327669:QAI327675 QKE327669:QKE327675 QUA327669:QUA327675 RDW327669:RDW327675 RNS327669:RNS327675 RXO327669:RXO327675 SHK327669:SHK327675 SRG327669:SRG327675 TBC327669:TBC327675 TKY327669:TKY327675 TUU327669:TUU327675 UEQ327669:UEQ327675 UOM327669:UOM327675 UYI327669:UYI327675 VIE327669:VIE327675 VSA327669:VSA327675 WBW327669:WBW327675 WLS327669:WLS327675 WVO327669:WVO327675 JC393205:JC393211 SY393205:SY393211 ACU393205:ACU393211 AMQ393205:AMQ393211 AWM393205:AWM393211 BGI393205:BGI393211 BQE393205:BQE393211 CAA393205:CAA393211 CJW393205:CJW393211 CTS393205:CTS393211 DDO393205:DDO393211 DNK393205:DNK393211 DXG393205:DXG393211 EHC393205:EHC393211 EQY393205:EQY393211 FAU393205:FAU393211 FKQ393205:FKQ393211 FUM393205:FUM393211 GEI393205:GEI393211 GOE393205:GOE393211 GYA393205:GYA393211 HHW393205:HHW393211 HRS393205:HRS393211 IBO393205:IBO393211 ILK393205:ILK393211 IVG393205:IVG393211 JFC393205:JFC393211 JOY393205:JOY393211 JYU393205:JYU393211 KIQ393205:KIQ393211 KSM393205:KSM393211 LCI393205:LCI393211 LME393205:LME393211 LWA393205:LWA393211 MFW393205:MFW393211 MPS393205:MPS393211 MZO393205:MZO393211 NJK393205:NJK393211 NTG393205:NTG393211 ODC393205:ODC393211 OMY393205:OMY393211 OWU393205:OWU393211 PGQ393205:PGQ393211 PQM393205:PQM393211 QAI393205:QAI393211 QKE393205:QKE393211 QUA393205:QUA393211 RDW393205:RDW393211 RNS393205:RNS393211 RXO393205:RXO393211 SHK393205:SHK393211 SRG393205:SRG393211 TBC393205:TBC393211 TKY393205:TKY393211 TUU393205:TUU393211 UEQ393205:UEQ393211 UOM393205:UOM393211 UYI393205:UYI393211 VIE393205:VIE393211 VSA393205:VSA393211 WBW393205:WBW393211 WLS393205:WLS393211 WVO393205:WVO393211 JC458741:JC458747 SY458741:SY458747 ACU458741:ACU458747 AMQ458741:AMQ458747 AWM458741:AWM458747 BGI458741:BGI458747 BQE458741:BQE458747 CAA458741:CAA458747 CJW458741:CJW458747 CTS458741:CTS458747 DDO458741:DDO458747 DNK458741:DNK458747 DXG458741:DXG458747 EHC458741:EHC458747 EQY458741:EQY458747 FAU458741:FAU458747 FKQ458741:FKQ458747 FUM458741:FUM458747 GEI458741:GEI458747 GOE458741:GOE458747 GYA458741:GYA458747 HHW458741:HHW458747 HRS458741:HRS458747 IBO458741:IBO458747 ILK458741:ILK458747 IVG458741:IVG458747 JFC458741:JFC458747 JOY458741:JOY458747 JYU458741:JYU458747 KIQ458741:KIQ458747 KSM458741:KSM458747 LCI458741:LCI458747 LME458741:LME458747 LWA458741:LWA458747 MFW458741:MFW458747 MPS458741:MPS458747 MZO458741:MZO458747 NJK458741:NJK458747 NTG458741:NTG458747 ODC458741:ODC458747 OMY458741:OMY458747 OWU458741:OWU458747 PGQ458741:PGQ458747 PQM458741:PQM458747 QAI458741:QAI458747 QKE458741:QKE458747 QUA458741:QUA458747 RDW458741:RDW458747 RNS458741:RNS458747 RXO458741:RXO458747 SHK458741:SHK458747 SRG458741:SRG458747 TBC458741:TBC458747 TKY458741:TKY458747 TUU458741:TUU458747 UEQ458741:UEQ458747 UOM458741:UOM458747 UYI458741:UYI458747 VIE458741:VIE458747 VSA458741:VSA458747 WBW458741:WBW458747 WLS458741:WLS458747 WVO458741:WVO458747 JC524277:JC524283 SY524277:SY524283 ACU524277:ACU524283 AMQ524277:AMQ524283 AWM524277:AWM524283 BGI524277:BGI524283 BQE524277:BQE524283 CAA524277:CAA524283 CJW524277:CJW524283 CTS524277:CTS524283 DDO524277:DDO524283 DNK524277:DNK524283 DXG524277:DXG524283 EHC524277:EHC524283 EQY524277:EQY524283 FAU524277:FAU524283 FKQ524277:FKQ524283 FUM524277:FUM524283 GEI524277:GEI524283 GOE524277:GOE524283 GYA524277:GYA524283 HHW524277:HHW524283 HRS524277:HRS524283 IBO524277:IBO524283 ILK524277:ILK524283 IVG524277:IVG524283 JFC524277:JFC524283 JOY524277:JOY524283 JYU524277:JYU524283 KIQ524277:KIQ524283 KSM524277:KSM524283 LCI524277:LCI524283 LME524277:LME524283 LWA524277:LWA524283 MFW524277:MFW524283 MPS524277:MPS524283 MZO524277:MZO524283 NJK524277:NJK524283 NTG524277:NTG524283 ODC524277:ODC524283 OMY524277:OMY524283 OWU524277:OWU524283 PGQ524277:PGQ524283 PQM524277:PQM524283 QAI524277:QAI524283 QKE524277:QKE524283 QUA524277:QUA524283 RDW524277:RDW524283 RNS524277:RNS524283 RXO524277:RXO524283 SHK524277:SHK524283 SRG524277:SRG524283 TBC524277:TBC524283 TKY524277:TKY524283 TUU524277:TUU524283 UEQ524277:UEQ524283 UOM524277:UOM524283 UYI524277:UYI524283 VIE524277:VIE524283 VSA524277:VSA524283 WBW524277:WBW524283 WLS524277:WLS524283 WVO524277:WVO524283 JC589813:JC589819 SY589813:SY589819 ACU589813:ACU589819 AMQ589813:AMQ589819 AWM589813:AWM589819 BGI589813:BGI589819 BQE589813:BQE589819 CAA589813:CAA589819 CJW589813:CJW589819 CTS589813:CTS589819 DDO589813:DDO589819 DNK589813:DNK589819 DXG589813:DXG589819 EHC589813:EHC589819 EQY589813:EQY589819 FAU589813:FAU589819 FKQ589813:FKQ589819 FUM589813:FUM589819 GEI589813:GEI589819 GOE589813:GOE589819 GYA589813:GYA589819 HHW589813:HHW589819 HRS589813:HRS589819 IBO589813:IBO589819 ILK589813:ILK589819 IVG589813:IVG589819 JFC589813:JFC589819 JOY589813:JOY589819 JYU589813:JYU589819 KIQ589813:KIQ589819 KSM589813:KSM589819 LCI589813:LCI589819 LME589813:LME589819 LWA589813:LWA589819 MFW589813:MFW589819 MPS589813:MPS589819 MZO589813:MZO589819 NJK589813:NJK589819 NTG589813:NTG589819 ODC589813:ODC589819 OMY589813:OMY589819 OWU589813:OWU589819 PGQ589813:PGQ589819 PQM589813:PQM589819 QAI589813:QAI589819 QKE589813:QKE589819 QUA589813:QUA589819 RDW589813:RDW589819 RNS589813:RNS589819 RXO589813:RXO589819 SHK589813:SHK589819 SRG589813:SRG589819 TBC589813:TBC589819 TKY589813:TKY589819 TUU589813:TUU589819 UEQ589813:UEQ589819 UOM589813:UOM589819 UYI589813:UYI589819 VIE589813:VIE589819 VSA589813:VSA589819 WBW589813:WBW589819 WLS589813:WLS589819 WVO589813:WVO589819 JC655349:JC655355 SY655349:SY655355 ACU655349:ACU655355 AMQ655349:AMQ655355 AWM655349:AWM655355 BGI655349:BGI655355 BQE655349:BQE655355 CAA655349:CAA655355 CJW655349:CJW655355 CTS655349:CTS655355 DDO655349:DDO655355 DNK655349:DNK655355 DXG655349:DXG655355 EHC655349:EHC655355 EQY655349:EQY655355 FAU655349:FAU655355 FKQ655349:FKQ655355 FUM655349:FUM655355 GEI655349:GEI655355 GOE655349:GOE655355 GYA655349:GYA655355 HHW655349:HHW655355 HRS655349:HRS655355 IBO655349:IBO655355 ILK655349:ILK655355 IVG655349:IVG655355 JFC655349:JFC655355 JOY655349:JOY655355 JYU655349:JYU655355 KIQ655349:KIQ655355 KSM655349:KSM655355 LCI655349:LCI655355 LME655349:LME655355 LWA655349:LWA655355 MFW655349:MFW655355 MPS655349:MPS655355 MZO655349:MZO655355 NJK655349:NJK655355 NTG655349:NTG655355 ODC655349:ODC655355 OMY655349:OMY655355 OWU655349:OWU655355 PGQ655349:PGQ655355 PQM655349:PQM655355 QAI655349:QAI655355 QKE655349:QKE655355 QUA655349:QUA655355 RDW655349:RDW655355 RNS655349:RNS655355 RXO655349:RXO655355 SHK655349:SHK655355 SRG655349:SRG655355 TBC655349:TBC655355 TKY655349:TKY655355 TUU655349:TUU655355 UEQ655349:UEQ655355 UOM655349:UOM655355 UYI655349:UYI655355 VIE655349:VIE655355 VSA655349:VSA655355 WBW655349:WBW655355 WLS655349:WLS655355 WVO655349:WVO655355 JC720885:JC720891 SY720885:SY720891 ACU720885:ACU720891 AMQ720885:AMQ720891 AWM720885:AWM720891 BGI720885:BGI720891 BQE720885:BQE720891 CAA720885:CAA720891 CJW720885:CJW720891 CTS720885:CTS720891 DDO720885:DDO720891 DNK720885:DNK720891 DXG720885:DXG720891 EHC720885:EHC720891 EQY720885:EQY720891 FAU720885:FAU720891 FKQ720885:FKQ720891 FUM720885:FUM720891 GEI720885:GEI720891 GOE720885:GOE720891 GYA720885:GYA720891 HHW720885:HHW720891 HRS720885:HRS720891 IBO720885:IBO720891 ILK720885:ILK720891 IVG720885:IVG720891 JFC720885:JFC720891 JOY720885:JOY720891 JYU720885:JYU720891 KIQ720885:KIQ720891 KSM720885:KSM720891 LCI720885:LCI720891 LME720885:LME720891 LWA720885:LWA720891 MFW720885:MFW720891 MPS720885:MPS720891 MZO720885:MZO720891 NJK720885:NJK720891 NTG720885:NTG720891 ODC720885:ODC720891 OMY720885:OMY720891 OWU720885:OWU720891 PGQ720885:PGQ720891 PQM720885:PQM720891 QAI720885:QAI720891 QKE720885:QKE720891 QUA720885:QUA720891 RDW720885:RDW720891 RNS720885:RNS720891 RXO720885:RXO720891 SHK720885:SHK720891 SRG720885:SRG720891 TBC720885:TBC720891 TKY720885:TKY720891 TUU720885:TUU720891 UEQ720885:UEQ720891 UOM720885:UOM720891 UYI720885:UYI720891 VIE720885:VIE720891 VSA720885:VSA720891 WBW720885:WBW720891 WLS720885:WLS720891 WVO720885:WVO720891 JC786421:JC786427 SY786421:SY786427 ACU786421:ACU786427 AMQ786421:AMQ786427 AWM786421:AWM786427 BGI786421:BGI786427 BQE786421:BQE786427 CAA786421:CAA786427 CJW786421:CJW786427 CTS786421:CTS786427 DDO786421:DDO786427 DNK786421:DNK786427 DXG786421:DXG786427 EHC786421:EHC786427 EQY786421:EQY786427 FAU786421:FAU786427 FKQ786421:FKQ786427 FUM786421:FUM786427 GEI786421:GEI786427 GOE786421:GOE786427 GYA786421:GYA786427 HHW786421:HHW786427 HRS786421:HRS786427 IBO786421:IBO786427 ILK786421:ILK786427 IVG786421:IVG786427 JFC786421:JFC786427 JOY786421:JOY786427 JYU786421:JYU786427 KIQ786421:KIQ786427 KSM786421:KSM786427 LCI786421:LCI786427 LME786421:LME786427 LWA786421:LWA786427 MFW786421:MFW786427 MPS786421:MPS786427 MZO786421:MZO786427 NJK786421:NJK786427 NTG786421:NTG786427 ODC786421:ODC786427 OMY786421:OMY786427 OWU786421:OWU786427 PGQ786421:PGQ786427 PQM786421:PQM786427 QAI786421:QAI786427 QKE786421:QKE786427 QUA786421:QUA786427 RDW786421:RDW786427 RNS786421:RNS786427 RXO786421:RXO786427 SHK786421:SHK786427 SRG786421:SRG786427 TBC786421:TBC786427 TKY786421:TKY786427 TUU786421:TUU786427 UEQ786421:UEQ786427 UOM786421:UOM786427 UYI786421:UYI786427 VIE786421:VIE786427 VSA786421:VSA786427 WBW786421:WBW786427 WLS786421:WLS786427 WVO786421:WVO786427 JC851957:JC851963 SY851957:SY851963 ACU851957:ACU851963 AMQ851957:AMQ851963 AWM851957:AWM851963 BGI851957:BGI851963 BQE851957:BQE851963 CAA851957:CAA851963 CJW851957:CJW851963 CTS851957:CTS851963 DDO851957:DDO851963 DNK851957:DNK851963 DXG851957:DXG851963 EHC851957:EHC851963 EQY851957:EQY851963 FAU851957:FAU851963 FKQ851957:FKQ851963 FUM851957:FUM851963 GEI851957:GEI851963 GOE851957:GOE851963 GYA851957:GYA851963 HHW851957:HHW851963 HRS851957:HRS851963 IBO851957:IBO851963 ILK851957:ILK851963 IVG851957:IVG851963 JFC851957:JFC851963 JOY851957:JOY851963 JYU851957:JYU851963 KIQ851957:KIQ851963 KSM851957:KSM851963 LCI851957:LCI851963 LME851957:LME851963 LWA851957:LWA851963 MFW851957:MFW851963 MPS851957:MPS851963 MZO851957:MZO851963 NJK851957:NJK851963 NTG851957:NTG851963 ODC851957:ODC851963 OMY851957:OMY851963 OWU851957:OWU851963 PGQ851957:PGQ851963 PQM851957:PQM851963 QAI851957:QAI851963 QKE851957:QKE851963 QUA851957:QUA851963 RDW851957:RDW851963 RNS851957:RNS851963 RXO851957:RXO851963 SHK851957:SHK851963 SRG851957:SRG851963 TBC851957:TBC851963 TKY851957:TKY851963 TUU851957:TUU851963 UEQ851957:UEQ851963 UOM851957:UOM851963 UYI851957:UYI851963 VIE851957:VIE851963 VSA851957:VSA851963 WBW851957:WBW851963 WLS851957:WLS851963 WVO851957:WVO851963 JC917493:JC917499 SY917493:SY917499 ACU917493:ACU917499 AMQ917493:AMQ917499 AWM917493:AWM917499 BGI917493:BGI917499 BQE917493:BQE917499 CAA917493:CAA917499 CJW917493:CJW917499 CTS917493:CTS917499 DDO917493:DDO917499 DNK917493:DNK917499 DXG917493:DXG917499 EHC917493:EHC917499 EQY917493:EQY917499 FAU917493:FAU917499 FKQ917493:FKQ917499 FUM917493:FUM917499 GEI917493:GEI917499 GOE917493:GOE917499 GYA917493:GYA917499 HHW917493:HHW917499 HRS917493:HRS917499 IBO917493:IBO917499 ILK917493:ILK917499 IVG917493:IVG917499 JFC917493:JFC917499 JOY917493:JOY917499 JYU917493:JYU917499 KIQ917493:KIQ917499 KSM917493:KSM917499 LCI917493:LCI917499 LME917493:LME917499 LWA917493:LWA917499 MFW917493:MFW917499 MPS917493:MPS917499 MZO917493:MZO917499 NJK917493:NJK917499 NTG917493:NTG917499 ODC917493:ODC917499 OMY917493:OMY917499 OWU917493:OWU917499 PGQ917493:PGQ917499 PQM917493:PQM917499 QAI917493:QAI917499 QKE917493:QKE917499 QUA917493:QUA917499 RDW917493:RDW917499 RNS917493:RNS917499 RXO917493:RXO917499 SHK917493:SHK917499 SRG917493:SRG917499 TBC917493:TBC917499 TKY917493:TKY917499 TUU917493:TUU917499 UEQ917493:UEQ917499 UOM917493:UOM917499 UYI917493:UYI917499 VIE917493:VIE917499 VSA917493:VSA917499 WBW917493:WBW917499 WLS917493:WLS917499 WVO917493:WVO917499 JC983029:JC983035 SY983029:SY983035 ACU983029:ACU983035 AMQ983029:AMQ983035 AWM983029:AWM983035 BGI983029:BGI983035 BQE983029:BQE983035 CAA983029:CAA983035 CJW983029:CJW983035 CTS983029:CTS983035 DDO983029:DDO983035 DNK983029:DNK983035 DXG983029:DXG983035 EHC983029:EHC983035 EQY983029:EQY983035 FAU983029:FAU983035 FKQ983029:FKQ983035 FUM983029:FUM983035 GEI983029:GEI983035 GOE983029:GOE983035 GYA983029:GYA983035 HHW983029:HHW983035 HRS983029:HRS983035 IBO983029:IBO983035 ILK983029:ILK983035 IVG983029:IVG983035 JFC983029:JFC983035 JOY983029:JOY983035 JYU983029:JYU983035 KIQ983029:KIQ983035 KSM983029:KSM983035 LCI983029:LCI983035 LME983029:LME983035 LWA983029:LWA983035 MFW983029:MFW983035 MPS983029:MPS983035 MZO983029:MZO983035 NJK983029:NJK983035 NTG983029:NTG983035 ODC983029:ODC983035 OMY983029:OMY983035 OWU983029:OWU983035 PGQ983029:PGQ983035 PQM983029:PQM983035 QAI983029:QAI983035 QKE983029:QKE983035 QUA983029:QUA983035 RDW983029:RDW983035 RNS983029:RNS983035 RXO983029:RXO983035 SHK983029:SHK983035 SRG983029:SRG983035 TBC983029:TBC983035 TKY983029:TKY983035 TUU983029:TUU983035 UEQ983029:UEQ983035 UOM983029:UOM983035 UYI983029:UYI983035 VIE983029:VIE983035 VSA983029:VSA983035 WBW983029:WBW983035 WLS983029:WLS983035 WUZ983029:WUZ983035 IN65525:IN65531 SJ65525:SJ65531 ACF65525:ACF65531 AMB65525:AMB65531 AVX65525:AVX65531 BFT65525:BFT65531 BPP65525:BPP65531 BZL65525:BZL65531 CJH65525:CJH65531 CTD65525:CTD65531 DCZ65525:DCZ65531 DMV65525:DMV65531 DWR65525:DWR65531 EGN65525:EGN65531 EQJ65525:EQJ65531 FAF65525:FAF65531 FKB65525:FKB65531 FTX65525:FTX65531 GDT65525:GDT65531 GNP65525:GNP65531 GXL65525:GXL65531 HHH65525:HHH65531 HRD65525:HRD65531 IAZ65525:IAZ65531 IKV65525:IKV65531 IUR65525:IUR65531 JEN65525:JEN65531 JOJ65525:JOJ65531 JYF65525:JYF65531 KIB65525:KIB65531 KRX65525:KRX65531 LBT65525:LBT65531 LLP65525:LLP65531 LVL65525:LVL65531 MFH65525:MFH65531 MPD65525:MPD65531 MYZ65525:MYZ65531 NIV65525:NIV65531 NSR65525:NSR65531 OCN65525:OCN65531 OMJ65525:OMJ65531 OWF65525:OWF65531 PGB65525:PGB65531 PPX65525:PPX65531 PZT65525:PZT65531 QJP65525:QJP65531 QTL65525:QTL65531 RDH65525:RDH65531 RND65525:RND65531 RWZ65525:RWZ65531 SGV65525:SGV65531 SQR65525:SQR65531 TAN65525:TAN65531 TKJ65525:TKJ65531 TUF65525:TUF65531 UEB65525:UEB65531 UNX65525:UNX65531 UXT65525:UXT65531 VHP65525:VHP65531 VRL65525:VRL65531 WBH65525:WBH65531 WLD65525:WLD65531 WUZ65525:WUZ65531 IN131061:IN131067 SJ131061:SJ131067 ACF131061:ACF131067 AMB131061:AMB131067 AVX131061:AVX131067 BFT131061:BFT131067 BPP131061:BPP131067 BZL131061:BZL131067 CJH131061:CJH131067 CTD131061:CTD131067 DCZ131061:DCZ131067 DMV131061:DMV131067 DWR131061:DWR131067 EGN131061:EGN131067 EQJ131061:EQJ131067 FAF131061:FAF131067 FKB131061:FKB131067 FTX131061:FTX131067 GDT131061:GDT131067 GNP131061:GNP131067 GXL131061:GXL131067 HHH131061:HHH131067 HRD131061:HRD131067 IAZ131061:IAZ131067 IKV131061:IKV131067 IUR131061:IUR131067 JEN131061:JEN131067 JOJ131061:JOJ131067 JYF131061:JYF131067 KIB131061:KIB131067 KRX131061:KRX131067 LBT131061:LBT131067 LLP131061:LLP131067 LVL131061:LVL131067 MFH131061:MFH131067 MPD131061:MPD131067 MYZ131061:MYZ131067 NIV131061:NIV131067 NSR131061:NSR131067 OCN131061:OCN131067 OMJ131061:OMJ131067 OWF131061:OWF131067 PGB131061:PGB131067 PPX131061:PPX131067 PZT131061:PZT131067 QJP131061:QJP131067 QTL131061:QTL131067 RDH131061:RDH131067 RND131061:RND131067 RWZ131061:RWZ131067 SGV131061:SGV131067 SQR131061:SQR131067 TAN131061:TAN131067 TKJ131061:TKJ131067 TUF131061:TUF131067 UEB131061:UEB131067 UNX131061:UNX131067 UXT131061:UXT131067 VHP131061:VHP131067 VRL131061:VRL131067 WBH131061:WBH131067 WLD131061:WLD131067 WUZ131061:WUZ131067 IN196597:IN196603 SJ196597:SJ196603 ACF196597:ACF196603 AMB196597:AMB196603 AVX196597:AVX196603 BFT196597:BFT196603 BPP196597:BPP196603 BZL196597:BZL196603 CJH196597:CJH196603 CTD196597:CTD196603 DCZ196597:DCZ196603 DMV196597:DMV196603 DWR196597:DWR196603 EGN196597:EGN196603 EQJ196597:EQJ196603 FAF196597:FAF196603 FKB196597:FKB196603 FTX196597:FTX196603 GDT196597:GDT196603 GNP196597:GNP196603 GXL196597:GXL196603 HHH196597:HHH196603 HRD196597:HRD196603 IAZ196597:IAZ196603 IKV196597:IKV196603 IUR196597:IUR196603 JEN196597:JEN196603 JOJ196597:JOJ196603 JYF196597:JYF196603 KIB196597:KIB196603 KRX196597:KRX196603 LBT196597:LBT196603 LLP196597:LLP196603 LVL196597:LVL196603 MFH196597:MFH196603 MPD196597:MPD196603 MYZ196597:MYZ196603 NIV196597:NIV196603 NSR196597:NSR196603 OCN196597:OCN196603 OMJ196597:OMJ196603 OWF196597:OWF196603 PGB196597:PGB196603 PPX196597:PPX196603 PZT196597:PZT196603 QJP196597:QJP196603 QTL196597:QTL196603 RDH196597:RDH196603 RND196597:RND196603 RWZ196597:RWZ196603 SGV196597:SGV196603 SQR196597:SQR196603 TAN196597:TAN196603 TKJ196597:TKJ196603 TUF196597:TUF196603 UEB196597:UEB196603 UNX196597:UNX196603 UXT196597:UXT196603 VHP196597:VHP196603 VRL196597:VRL196603 WBH196597:WBH196603 WLD196597:WLD196603 WUZ196597:WUZ196603 IN262133:IN262139 SJ262133:SJ262139 ACF262133:ACF262139 AMB262133:AMB262139 AVX262133:AVX262139 BFT262133:BFT262139 BPP262133:BPP262139 BZL262133:BZL262139 CJH262133:CJH262139 CTD262133:CTD262139 DCZ262133:DCZ262139 DMV262133:DMV262139 DWR262133:DWR262139 EGN262133:EGN262139 EQJ262133:EQJ262139 FAF262133:FAF262139 FKB262133:FKB262139 FTX262133:FTX262139 GDT262133:GDT262139 GNP262133:GNP262139 GXL262133:GXL262139 HHH262133:HHH262139 HRD262133:HRD262139 IAZ262133:IAZ262139 IKV262133:IKV262139 IUR262133:IUR262139 JEN262133:JEN262139 JOJ262133:JOJ262139 JYF262133:JYF262139 KIB262133:KIB262139 KRX262133:KRX262139 LBT262133:LBT262139 LLP262133:LLP262139 LVL262133:LVL262139 MFH262133:MFH262139 MPD262133:MPD262139 MYZ262133:MYZ262139 NIV262133:NIV262139 NSR262133:NSR262139 OCN262133:OCN262139 OMJ262133:OMJ262139 OWF262133:OWF262139 PGB262133:PGB262139 PPX262133:PPX262139 PZT262133:PZT262139 QJP262133:QJP262139 QTL262133:QTL262139 RDH262133:RDH262139 RND262133:RND262139 RWZ262133:RWZ262139 SGV262133:SGV262139 SQR262133:SQR262139 TAN262133:TAN262139 TKJ262133:TKJ262139 TUF262133:TUF262139 UEB262133:UEB262139 UNX262133:UNX262139 UXT262133:UXT262139 VHP262133:VHP262139 VRL262133:VRL262139 WBH262133:WBH262139 WLD262133:WLD262139 WUZ262133:WUZ262139 IN327669:IN327675 SJ327669:SJ327675 ACF327669:ACF327675 AMB327669:AMB327675 AVX327669:AVX327675 BFT327669:BFT327675 BPP327669:BPP327675 BZL327669:BZL327675 CJH327669:CJH327675 CTD327669:CTD327675 DCZ327669:DCZ327675 DMV327669:DMV327675 DWR327669:DWR327675 EGN327669:EGN327675 EQJ327669:EQJ327675 FAF327669:FAF327675 FKB327669:FKB327675 FTX327669:FTX327675 GDT327669:GDT327675 GNP327669:GNP327675 GXL327669:GXL327675 HHH327669:HHH327675 HRD327669:HRD327675 IAZ327669:IAZ327675 IKV327669:IKV327675 IUR327669:IUR327675 JEN327669:JEN327675 JOJ327669:JOJ327675 JYF327669:JYF327675 KIB327669:KIB327675 KRX327669:KRX327675 LBT327669:LBT327675 LLP327669:LLP327675 LVL327669:LVL327675 MFH327669:MFH327675 MPD327669:MPD327675 MYZ327669:MYZ327675 NIV327669:NIV327675 NSR327669:NSR327675 OCN327669:OCN327675 OMJ327669:OMJ327675 OWF327669:OWF327675 PGB327669:PGB327675 PPX327669:PPX327675 PZT327669:PZT327675 QJP327669:QJP327675 QTL327669:QTL327675 RDH327669:RDH327675 RND327669:RND327675 RWZ327669:RWZ327675 SGV327669:SGV327675 SQR327669:SQR327675 TAN327669:TAN327675 TKJ327669:TKJ327675 TUF327669:TUF327675 UEB327669:UEB327675 UNX327669:UNX327675 UXT327669:UXT327675 VHP327669:VHP327675 VRL327669:VRL327675 WBH327669:WBH327675 WLD327669:WLD327675 WUZ327669:WUZ327675 IN393205:IN393211 SJ393205:SJ393211 ACF393205:ACF393211 AMB393205:AMB393211 AVX393205:AVX393211 BFT393205:BFT393211 BPP393205:BPP393211 BZL393205:BZL393211 CJH393205:CJH393211 CTD393205:CTD393211 DCZ393205:DCZ393211 DMV393205:DMV393211 DWR393205:DWR393211 EGN393205:EGN393211 EQJ393205:EQJ393211 FAF393205:FAF393211 FKB393205:FKB393211 FTX393205:FTX393211 GDT393205:GDT393211 GNP393205:GNP393211 GXL393205:GXL393211 HHH393205:HHH393211 HRD393205:HRD393211 IAZ393205:IAZ393211 IKV393205:IKV393211 IUR393205:IUR393211 JEN393205:JEN393211 JOJ393205:JOJ393211 JYF393205:JYF393211 KIB393205:KIB393211 KRX393205:KRX393211 LBT393205:LBT393211 LLP393205:LLP393211 LVL393205:LVL393211 MFH393205:MFH393211 MPD393205:MPD393211 MYZ393205:MYZ393211 NIV393205:NIV393211 NSR393205:NSR393211 OCN393205:OCN393211 OMJ393205:OMJ393211 OWF393205:OWF393211 PGB393205:PGB393211 PPX393205:PPX393211 PZT393205:PZT393211 QJP393205:QJP393211 QTL393205:QTL393211 RDH393205:RDH393211 RND393205:RND393211 RWZ393205:RWZ393211 SGV393205:SGV393211 SQR393205:SQR393211 TAN393205:TAN393211 TKJ393205:TKJ393211 TUF393205:TUF393211 UEB393205:UEB393211 UNX393205:UNX393211 UXT393205:UXT393211 VHP393205:VHP393211 VRL393205:VRL393211 WBH393205:WBH393211 WLD393205:WLD393211 WUZ393205:WUZ393211 IN458741:IN458747 SJ458741:SJ458747 ACF458741:ACF458747 AMB458741:AMB458747 AVX458741:AVX458747 BFT458741:BFT458747 BPP458741:BPP458747 BZL458741:BZL458747 CJH458741:CJH458747 CTD458741:CTD458747 DCZ458741:DCZ458747 DMV458741:DMV458747 DWR458741:DWR458747 EGN458741:EGN458747 EQJ458741:EQJ458747 FAF458741:FAF458747 FKB458741:FKB458747 FTX458741:FTX458747 GDT458741:GDT458747 GNP458741:GNP458747 GXL458741:GXL458747 HHH458741:HHH458747 HRD458741:HRD458747 IAZ458741:IAZ458747 IKV458741:IKV458747 IUR458741:IUR458747 JEN458741:JEN458747 JOJ458741:JOJ458747 JYF458741:JYF458747 KIB458741:KIB458747 KRX458741:KRX458747 LBT458741:LBT458747 LLP458741:LLP458747 LVL458741:LVL458747 MFH458741:MFH458747 MPD458741:MPD458747 MYZ458741:MYZ458747 NIV458741:NIV458747 NSR458741:NSR458747 OCN458741:OCN458747 OMJ458741:OMJ458747 OWF458741:OWF458747 PGB458741:PGB458747 PPX458741:PPX458747 PZT458741:PZT458747 QJP458741:QJP458747 QTL458741:QTL458747 RDH458741:RDH458747 RND458741:RND458747 RWZ458741:RWZ458747 SGV458741:SGV458747 SQR458741:SQR458747 TAN458741:TAN458747 TKJ458741:TKJ458747 TUF458741:TUF458747 UEB458741:UEB458747 UNX458741:UNX458747 UXT458741:UXT458747 VHP458741:VHP458747 VRL458741:VRL458747 WBH458741:WBH458747 WLD458741:WLD458747 WUZ458741:WUZ458747 IN524277:IN524283 SJ524277:SJ524283 ACF524277:ACF524283 AMB524277:AMB524283 AVX524277:AVX524283 BFT524277:BFT524283 BPP524277:BPP524283 BZL524277:BZL524283 CJH524277:CJH524283 CTD524277:CTD524283 DCZ524277:DCZ524283 DMV524277:DMV524283 DWR524277:DWR524283 EGN524277:EGN524283 EQJ524277:EQJ524283 FAF524277:FAF524283 FKB524277:FKB524283 FTX524277:FTX524283 GDT524277:GDT524283 GNP524277:GNP524283 GXL524277:GXL524283 HHH524277:HHH524283 HRD524277:HRD524283 IAZ524277:IAZ524283 IKV524277:IKV524283 IUR524277:IUR524283 JEN524277:JEN524283 JOJ524277:JOJ524283 JYF524277:JYF524283 KIB524277:KIB524283 KRX524277:KRX524283 LBT524277:LBT524283 LLP524277:LLP524283 LVL524277:LVL524283 MFH524277:MFH524283 MPD524277:MPD524283 MYZ524277:MYZ524283 NIV524277:NIV524283 NSR524277:NSR524283 OCN524277:OCN524283 OMJ524277:OMJ524283 OWF524277:OWF524283 PGB524277:PGB524283 PPX524277:PPX524283 PZT524277:PZT524283 QJP524277:QJP524283 QTL524277:QTL524283 RDH524277:RDH524283 RND524277:RND524283 RWZ524277:RWZ524283 SGV524277:SGV524283 SQR524277:SQR524283 TAN524277:TAN524283 TKJ524277:TKJ524283 TUF524277:TUF524283 UEB524277:UEB524283 UNX524277:UNX524283 UXT524277:UXT524283 VHP524277:VHP524283 VRL524277:VRL524283 WBH524277:WBH524283 WLD524277:WLD524283 WUZ524277:WUZ524283 IN589813:IN589819 SJ589813:SJ589819 ACF589813:ACF589819 AMB589813:AMB589819 AVX589813:AVX589819 BFT589813:BFT589819 BPP589813:BPP589819 BZL589813:BZL589819 CJH589813:CJH589819 CTD589813:CTD589819 DCZ589813:DCZ589819 DMV589813:DMV589819 DWR589813:DWR589819 EGN589813:EGN589819 EQJ589813:EQJ589819 FAF589813:FAF589819 FKB589813:FKB589819 FTX589813:FTX589819 GDT589813:GDT589819 GNP589813:GNP589819 GXL589813:GXL589819 HHH589813:HHH589819 HRD589813:HRD589819 IAZ589813:IAZ589819 IKV589813:IKV589819 IUR589813:IUR589819 JEN589813:JEN589819 JOJ589813:JOJ589819 JYF589813:JYF589819 KIB589813:KIB589819 KRX589813:KRX589819 LBT589813:LBT589819 LLP589813:LLP589819 LVL589813:LVL589819 MFH589813:MFH589819 MPD589813:MPD589819 MYZ589813:MYZ589819 NIV589813:NIV589819 NSR589813:NSR589819 OCN589813:OCN589819 OMJ589813:OMJ589819 OWF589813:OWF589819 PGB589813:PGB589819 PPX589813:PPX589819 PZT589813:PZT589819 QJP589813:QJP589819 QTL589813:QTL589819 RDH589813:RDH589819 RND589813:RND589819 RWZ589813:RWZ589819 SGV589813:SGV589819 SQR589813:SQR589819 TAN589813:TAN589819 TKJ589813:TKJ589819 TUF589813:TUF589819 UEB589813:UEB589819 UNX589813:UNX589819 UXT589813:UXT589819 VHP589813:VHP589819 VRL589813:VRL589819 WBH589813:WBH589819 WLD589813:WLD589819 WUZ589813:WUZ589819 IN655349:IN655355 SJ655349:SJ655355 ACF655349:ACF655355 AMB655349:AMB655355 AVX655349:AVX655355 BFT655349:BFT655355 BPP655349:BPP655355 BZL655349:BZL655355 CJH655349:CJH655355 CTD655349:CTD655355 DCZ655349:DCZ655355 DMV655349:DMV655355 DWR655349:DWR655355 EGN655349:EGN655355 EQJ655349:EQJ655355 FAF655349:FAF655355 FKB655349:FKB655355 FTX655349:FTX655355 GDT655349:GDT655355 GNP655349:GNP655355 GXL655349:GXL655355 HHH655349:HHH655355 HRD655349:HRD655355 IAZ655349:IAZ655355 IKV655349:IKV655355 IUR655349:IUR655355 JEN655349:JEN655355 JOJ655349:JOJ655355 JYF655349:JYF655355 KIB655349:KIB655355 KRX655349:KRX655355 LBT655349:LBT655355 LLP655349:LLP655355 LVL655349:LVL655355 MFH655349:MFH655355 MPD655349:MPD655355 MYZ655349:MYZ655355 NIV655349:NIV655355 NSR655349:NSR655355 OCN655349:OCN655355 OMJ655349:OMJ655355 OWF655349:OWF655355 PGB655349:PGB655355 PPX655349:PPX655355 PZT655349:PZT655355 QJP655349:QJP655355 QTL655349:QTL655355 RDH655349:RDH655355 RND655349:RND655355 RWZ655349:RWZ655355 SGV655349:SGV655355 SQR655349:SQR655355 TAN655349:TAN655355 TKJ655349:TKJ655355 TUF655349:TUF655355 UEB655349:UEB655355 UNX655349:UNX655355 UXT655349:UXT655355 VHP655349:VHP655355 VRL655349:VRL655355 WBH655349:WBH655355 WLD655349:WLD655355 WUZ655349:WUZ655355 IN720885:IN720891 SJ720885:SJ720891 ACF720885:ACF720891 AMB720885:AMB720891 AVX720885:AVX720891 BFT720885:BFT720891 BPP720885:BPP720891 BZL720885:BZL720891 CJH720885:CJH720891 CTD720885:CTD720891 DCZ720885:DCZ720891 DMV720885:DMV720891 DWR720885:DWR720891 EGN720885:EGN720891 EQJ720885:EQJ720891 FAF720885:FAF720891 FKB720885:FKB720891 FTX720885:FTX720891 GDT720885:GDT720891 GNP720885:GNP720891 GXL720885:GXL720891 HHH720885:HHH720891 HRD720885:HRD720891 IAZ720885:IAZ720891 IKV720885:IKV720891 IUR720885:IUR720891 JEN720885:JEN720891 JOJ720885:JOJ720891 JYF720885:JYF720891 KIB720885:KIB720891 KRX720885:KRX720891 LBT720885:LBT720891 LLP720885:LLP720891 LVL720885:LVL720891 MFH720885:MFH720891 MPD720885:MPD720891 MYZ720885:MYZ720891 NIV720885:NIV720891 NSR720885:NSR720891 OCN720885:OCN720891 OMJ720885:OMJ720891 OWF720885:OWF720891 PGB720885:PGB720891 PPX720885:PPX720891 PZT720885:PZT720891 QJP720885:QJP720891 QTL720885:QTL720891 RDH720885:RDH720891 RND720885:RND720891 RWZ720885:RWZ720891 SGV720885:SGV720891 SQR720885:SQR720891 TAN720885:TAN720891 TKJ720885:TKJ720891 TUF720885:TUF720891 UEB720885:UEB720891 UNX720885:UNX720891 UXT720885:UXT720891 VHP720885:VHP720891 VRL720885:VRL720891 WBH720885:WBH720891 WLD720885:WLD720891 WUZ720885:WUZ720891 IN786421:IN786427 SJ786421:SJ786427 ACF786421:ACF786427 AMB786421:AMB786427 AVX786421:AVX786427 BFT786421:BFT786427 BPP786421:BPP786427 BZL786421:BZL786427 CJH786421:CJH786427 CTD786421:CTD786427 DCZ786421:DCZ786427 DMV786421:DMV786427 DWR786421:DWR786427 EGN786421:EGN786427 EQJ786421:EQJ786427 FAF786421:FAF786427 FKB786421:FKB786427 FTX786421:FTX786427 GDT786421:GDT786427 GNP786421:GNP786427 GXL786421:GXL786427 HHH786421:HHH786427 HRD786421:HRD786427 IAZ786421:IAZ786427 IKV786421:IKV786427 IUR786421:IUR786427 JEN786421:JEN786427 JOJ786421:JOJ786427 JYF786421:JYF786427 KIB786421:KIB786427 KRX786421:KRX786427 LBT786421:LBT786427 LLP786421:LLP786427 LVL786421:LVL786427 MFH786421:MFH786427 MPD786421:MPD786427 MYZ786421:MYZ786427 NIV786421:NIV786427 NSR786421:NSR786427 OCN786421:OCN786427 OMJ786421:OMJ786427 OWF786421:OWF786427 PGB786421:PGB786427 PPX786421:PPX786427 PZT786421:PZT786427 QJP786421:QJP786427 QTL786421:QTL786427 RDH786421:RDH786427 RND786421:RND786427 RWZ786421:RWZ786427 SGV786421:SGV786427 SQR786421:SQR786427 TAN786421:TAN786427 TKJ786421:TKJ786427 TUF786421:TUF786427 UEB786421:UEB786427 UNX786421:UNX786427 UXT786421:UXT786427 VHP786421:VHP786427 VRL786421:VRL786427 WBH786421:WBH786427 WLD786421:WLD786427 WUZ786421:WUZ786427 IN851957:IN851963 SJ851957:SJ851963 ACF851957:ACF851963 AMB851957:AMB851963 AVX851957:AVX851963 BFT851957:BFT851963 BPP851957:BPP851963 BZL851957:BZL851963 CJH851957:CJH851963 CTD851957:CTD851963 DCZ851957:DCZ851963 DMV851957:DMV851963 DWR851957:DWR851963 EGN851957:EGN851963 EQJ851957:EQJ851963 FAF851957:FAF851963 FKB851957:FKB851963 FTX851957:FTX851963 GDT851957:GDT851963 GNP851957:GNP851963 GXL851957:GXL851963 HHH851957:HHH851963 HRD851957:HRD851963 IAZ851957:IAZ851963 IKV851957:IKV851963 IUR851957:IUR851963 JEN851957:JEN851963 JOJ851957:JOJ851963 JYF851957:JYF851963 KIB851957:KIB851963 KRX851957:KRX851963 LBT851957:LBT851963 LLP851957:LLP851963 LVL851957:LVL851963 MFH851957:MFH851963 MPD851957:MPD851963 MYZ851957:MYZ851963 NIV851957:NIV851963 NSR851957:NSR851963 OCN851957:OCN851963 OMJ851957:OMJ851963 OWF851957:OWF851963 PGB851957:PGB851963 PPX851957:PPX851963 PZT851957:PZT851963 QJP851957:QJP851963 QTL851957:QTL851963 RDH851957:RDH851963 RND851957:RND851963 RWZ851957:RWZ851963 SGV851957:SGV851963 SQR851957:SQR851963 TAN851957:TAN851963 TKJ851957:TKJ851963 TUF851957:TUF851963 UEB851957:UEB851963 UNX851957:UNX851963 UXT851957:UXT851963 VHP851957:VHP851963 VRL851957:VRL851963 WBH851957:WBH851963 WLD851957:WLD851963 WUZ851957:WUZ851963 IN917493:IN917499 SJ917493:SJ917499 ACF917493:ACF917499 AMB917493:AMB917499 AVX917493:AVX917499 BFT917493:BFT917499 BPP917493:BPP917499 BZL917493:BZL917499 CJH917493:CJH917499 CTD917493:CTD917499 DCZ917493:DCZ917499 DMV917493:DMV917499 DWR917493:DWR917499 EGN917493:EGN917499 EQJ917493:EQJ917499 FAF917493:FAF917499 FKB917493:FKB917499 FTX917493:FTX917499 GDT917493:GDT917499 GNP917493:GNP917499 GXL917493:GXL917499 HHH917493:HHH917499 HRD917493:HRD917499 IAZ917493:IAZ917499 IKV917493:IKV917499 IUR917493:IUR917499 JEN917493:JEN917499 JOJ917493:JOJ917499 JYF917493:JYF917499 KIB917493:KIB917499 KRX917493:KRX917499 LBT917493:LBT917499 LLP917493:LLP917499 LVL917493:LVL917499 MFH917493:MFH917499 MPD917493:MPD917499 MYZ917493:MYZ917499 NIV917493:NIV917499 NSR917493:NSR917499 OCN917493:OCN917499 OMJ917493:OMJ917499 OWF917493:OWF917499 PGB917493:PGB917499 PPX917493:PPX917499 PZT917493:PZT917499 QJP917493:QJP917499 QTL917493:QTL917499 RDH917493:RDH917499 RND917493:RND917499 RWZ917493:RWZ917499 SGV917493:SGV917499 SQR917493:SQR917499 TAN917493:TAN917499 TKJ917493:TKJ917499 TUF917493:TUF917499 UEB917493:UEB917499 UNX917493:UNX917499 UXT917493:UXT917499 VHP917493:VHP917499 VRL917493:VRL917499 WBH917493:WBH917499 WLD917493:WLD917499 WUZ917493:WUZ917499 IN983029:IN983035 SJ983029:SJ983035 ACF983029:ACF983035 AMB983029:AMB983035 AVX983029:AVX983035 BFT983029:BFT983035 BPP983029:BPP983035 BZL983029:BZL983035 CJH983029:CJH983035 CTD983029:CTD983035 DCZ983029:DCZ983035 DMV983029:DMV983035 DWR983029:DWR983035 EGN983029:EGN983035 EQJ983029:EQJ983035 FAF983029:FAF983035 FKB983029:FKB983035 FTX983029:FTX983035 GDT983029:GDT983035 GNP983029:GNP983035 GXL983029:GXL983035 HHH983029:HHH983035 HRD983029:HRD983035 IAZ983029:IAZ983035 IKV983029:IKV983035 IUR983029:IUR983035 JEN983029:JEN983035 JOJ983029:JOJ983035 JYF983029:JYF983035 KIB983029:KIB983035 KRX983029:KRX983035 LBT983029:LBT983035 LLP983029:LLP983035 LVL983029:LVL983035 MFH983029:MFH983035 MPD983029:MPD983035 MYZ983029:MYZ983035 NIV983029:NIV983035 NSR983029:NSR983035 OCN983029:OCN983035 OMJ983029:OMJ983035 OWF983029:OWF983035 PGB983029:PGB983035 PPX983029:PPX983035 PZT983029:PZT983035 QJP983029:QJP983035 QTL983029:QTL983035 RDH983029:RDH983035 RND983029:RND983035 RWZ983029:RWZ983035 SGV983029:SGV983035 SQR983029:SQR983035 TAN983029:TAN983035 TKJ983029:TKJ983035 TUF983029:TUF983035 UEB983029:UEB983035 UNX983029:UNX983035 UXT983029:UXT983035 VHP983029:VHP983035 VRL983029:VRL983035 WBH983029:WBH983035 WLD983029:WLD983035 WVK983029:WVK983035 WLO983029:WLO983035 WBS983029:WBS983035 VRW983029:VRW983035 VIA983029:VIA983035 UYE983029:UYE983035 UOI983029:UOI983035 UEM983029:UEM983035 TUQ983029:TUQ983035 TKU983029:TKU983035 TAY983029:TAY983035 SRC983029:SRC983035 SHG983029:SHG983035 RXK983029:RXK983035 RNO983029:RNO983035 RDS983029:RDS983035 QTW983029:QTW983035 QKA983029:QKA983035 QAE983029:QAE983035 PQI983029:PQI983035 PGM983029:PGM983035 OWQ983029:OWQ983035 OMU983029:OMU983035 OCY983029:OCY983035 NTC983029:NTC983035 NJG983029:NJG983035 MZK983029:MZK983035 MPO983029:MPO983035 MFS983029:MFS983035 LVW983029:LVW983035 LMA983029:LMA983035 LCE983029:LCE983035 KSI983029:KSI983035 KIM983029:KIM983035 JYQ983029:JYQ983035 JOU983029:JOU983035 JEY983029:JEY983035 IVC983029:IVC983035 ILG983029:ILG983035 IBK983029:IBK983035 HRO983029:HRO983035 HHS983029:HHS983035 GXW983029:GXW983035 GOA983029:GOA983035 GEE983029:GEE983035 FUI983029:FUI983035 FKM983029:FKM983035 FAQ983029:FAQ983035 EQU983029:EQU983035 EGY983029:EGY983035 DXC983029:DXC983035 DNG983029:DNG983035 DDK983029:DDK983035 CTO983029:CTO983035 CJS983029:CJS983035 BZW983029:BZW983035 BQA983029:BQA983035 BGE983029:BGE983035 AWI983029:AWI983035 AMM983029:AMM983035 ACQ983029:ACQ983035 SU983029:SU983035 IY983029:IY983035 WVK917493:WVK917499 WLO917493:WLO917499 WBS917493:WBS917499 VRW917493:VRW917499 VIA917493:VIA917499 UYE917493:UYE917499 UOI917493:UOI917499 UEM917493:UEM917499 TUQ917493:TUQ917499 TKU917493:TKU917499 TAY917493:TAY917499 SRC917493:SRC917499 SHG917493:SHG917499 RXK917493:RXK917499 RNO917493:RNO917499 RDS917493:RDS917499 QTW917493:QTW917499 QKA917493:QKA917499 QAE917493:QAE917499 PQI917493:PQI917499 PGM917493:PGM917499 OWQ917493:OWQ917499 OMU917493:OMU917499 OCY917493:OCY917499 NTC917493:NTC917499 NJG917493:NJG917499 MZK917493:MZK917499 MPO917493:MPO917499 MFS917493:MFS917499 LVW917493:LVW917499 LMA917493:LMA917499 LCE917493:LCE917499 KSI917493:KSI917499 KIM917493:KIM917499 JYQ917493:JYQ917499 JOU917493:JOU917499 JEY917493:JEY917499 IVC917493:IVC917499 ILG917493:ILG917499 IBK917493:IBK917499 HRO917493:HRO917499 HHS917493:HHS917499 GXW917493:GXW917499 GOA917493:GOA917499 GEE917493:GEE917499 FUI917493:FUI917499 FKM917493:FKM917499 FAQ917493:FAQ917499 EQU917493:EQU917499 EGY917493:EGY917499 DXC917493:DXC917499 DNG917493:DNG917499 DDK917493:DDK917499 CTO917493:CTO917499 CJS917493:CJS917499 BZW917493:BZW917499 BQA917493:BQA917499 BGE917493:BGE917499 AWI917493:AWI917499 AMM917493:AMM917499 ACQ917493:ACQ917499 SU917493:SU917499 IY917493:IY917499 WVK851957:WVK851963 WLO851957:WLO851963 WBS851957:WBS851963 VRW851957:VRW851963 VIA851957:VIA851963 UYE851957:UYE851963 UOI851957:UOI851963 UEM851957:UEM851963 TUQ851957:TUQ851963 TKU851957:TKU851963 TAY851957:TAY851963 SRC851957:SRC851963 SHG851957:SHG851963 RXK851957:RXK851963 RNO851957:RNO851963 RDS851957:RDS851963 QTW851957:QTW851963 QKA851957:QKA851963 QAE851957:QAE851963 PQI851957:PQI851963 PGM851957:PGM851963 OWQ851957:OWQ851963 OMU851957:OMU851963 OCY851957:OCY851963 NTC851957:NTC851963 NJG851957:NJG851963 MZK851957:MZK851963 MPO851957:MPO851963 MFS851957:MFS851963 LVW851957:LVW851963 LMA851957:LMA851963 LCE851957:LCE851963 KSI851957:KSI851963 KIM851957:KIM851963 JYQ851957:JYQ851963 JOU851957:JOU851963 JEY851957:JEY851963 IVC851957:IVC851963 ILG851957:ILG851963 IBK851957:IBK851963 HRO851957:HRO851963 HHS851957:HHS851963 GXW851957:GXW851963 GOA851957:GOA851963 GEE851957:GEE851963 FUI851957:FUI851963 FKM851957:FKM851963 FAQ851957:FAQ851963 EQU851957:EQU851963 EGY851957:EGY851963 DXC851957:DXC851963 DNG851957:DNG851963 DDK851957:DDK851963 CTO851957:CTO851963 CJS851957:CJS851963 BZW851957:BZW851963 BQA851957:BQA851963 BGE851957:BGE851963 AWI851957:AWI851963 AMM851957:AMM851963 ACQ851957:ACQ851963 SU851957:SU851963 IY851957:IY851963 WVK786421:WVK786427 WLO786421:WLO786427 WBS786421:WBS786427 VRW786421:VRW786427 VIA786421:VIA786427 UYE786421:UYE786427 UOI786421:UOI786427 UEM786421:UEM786427 TUQ786421:TUQ786427 TKU786421:TKU786427 TAY786421:TAY786427 SRC786421:SRC786427 SHG786421:SHG786427 RXK786421:RXK786427 RNO786421:RNO786427 RDS786421:RDS786427 QTW786421:QTW786427 QKA786421:QKA786427 QAE786421:QAE786427 PQI786421:PQI786427 PGM786421:PGM786427 OWQ786421:OWQ786427 OMU786421:OMU786427 OCY786421:OCY786427 NTC786421:NTC786427 NJG786421:NJG786427 MZK786421:MZK786427 MPO786421:MPO786427 MFS786421:MFS786427 LVW786421:LVW786427 LMA786421:LMA786427 LCE786421:LCE786427 KSI786421:KSI786427 KIM786421:KIM786427 JYQ786421:JYQ786427 JOU786421:JOU786427 JEY786421:JEY786427 IVC786421:IVC786427 ILG786421:ILG786427 IBK786421:IBK786427 HRO786421:HRO786427 HHS786421:HHS786427 GXW786421:GXW786427 GOA786421:GOA786427 GEE786421:GEE786427 FUI786421:FUI786427 FKM786421:FKM786427 FAQ786421:FAQ786427 EQU786421:EQU786427 EGY786421:EGY786427 DXC786421:DXC786427 DNG786421:DNG786427 DDK786421:DDK786427 CTO786421:CTO786427 CJS786421:CJS786427 BZW786421:BZW786427 BQA786421:BQA786427 BGE786421:BGE786427 AWI786421:AWI786427 AMM786421:AMM786427 ACQ786421:ACQ786427 SU786421:SU786427 IY786421:IY786427 WVK720885:WVK720891 WLO720885:WLO720891 WBS720885:WBS720891 VRW720885:VRW720891 VIA720885:VIA720891 UYE720885:UYE720891 UOI720885:UOI720891 UEM720885:UEM720891 TUQ720885:TUQ720891 TKU720885:TKU720891 TAY720885:TAY720891 SRC720885:SRC720891 SHG720885:SHG720891 RXK720885:RXK720891 RNO720885:RNO720891 RDS720885:RDS720891 QTW720885:QTW720891 QKA720885:QKA720891 QAE720885:QAE720891 PQI720885:PQI720891 PGM720885:PGM720891 OWQ720885:OWQ720891 OMU720885:OMU720891 OCY720885:OCY720891 NTC720885:NTC720891 NJG720885:NJG720891 MZK720885:MZK720891 MPO720885:MPO720891 MFS720885:MFS720891 LVW720885:LVW720891 LMA720885:LMA720891 LCE720885:LCE720891 KSI720885:KSI720891 KIM720885:KIM720891 JYQ720885:JYQ720891 JOU720885:JOU720891 JEY720885:JEY720891 IVC720885:IVC720891 ILG720885:ILG720891 IBK720885:IBK720891 HRO720885:HRO720891 HHS720885:HHS720891 GXW720885:GXW720891 GOA720885:GOA720891 GEE720885:GEE720891 FUI720885:FUI720891 FKM720885:FKM720891 FAQ720885:FAQ720891 EQU720885:EQU720891 EGY720885:EGY720891 DXC720885:DXC720891 DNG720885:DNG720891 DDK720885:DDK720891 CTO720885:CTO720891 CJS720885:CJS720891 BZW720885:BZW720891 BQA720885:BQA720891 BGE720885:BGE720891 AWI720885:AWI720891 AMM720885:AMM720891 ACQ720885:ACQ720891 SU720885:SU720891 IY720885:IY720891 WVK655349:WVK655355 WLO655349:WLO655355 WBS655349:WBS655355 VRW655349:VRW655355 VIA655349:VIA655355 UYE655349:UYE655355 UOI655349:UOI655355 UEM655349:UEM655355 TUQ655349:TUQ655355 TKU655349:TKU655355 TAY655349:TAY655355 SRC655349:SRC655355 SHG655349:SHG655355 RXK655349:RXK655355 RNO655349:RNO655355 RDS655349:RDS655355 QTW655349:QTW655355 QKA655349:QKA655355 QAE655349:QAE655355 PQI655349:PQI655355 PGM655349:PGM655355 OWQ655349:OWQ655355 OMU655349:OMU655355 OCY655349:OCY655355 NTC655349:NTC655355 NJG655349:NJG655355 MZK655349:MZK655355 MPO655349:MPO655355 MFS655349:MFS655355 LVW655349:LVW655355 LMA655349:LMA655355 LCE655349:LCE655355 KSI655349:KSI655355 KIM655349:KIM655355 JYQ655349:JYQ655355 JOU655349:JOU655355 JEY655349:JEY655355 IVC655349:IVC655355 ILG655349:ILG655355 IBK655349:IBK655355 HRO655349:HRO655355 HHS655349:HHS655355 GXW655349:GXW655355 GOA655349:GOA655355 GEE655349:GEE655355 FUI655349:FUI655355 FKM655349:FKM655355 FAQ655349:FAQ655355 EQU655349:EQU655355 EGY655349:EGY655355 DXC655349:DXC655355 DNG655349:DNG655355 DDK655349:DDK655355 CTO655349:CTO655355 CJS655349:CJS655355 BZW655349:BZW655355 BQA655349:BQA655355 BGE655349:BGE655355 AWI655349:AWI655355 AMM655349:AMM655355 ACQ655349:ACQ655355 SU655349:SU655355 IY655349:IY655355 WVK589813:WVK589819 WLO589813:WLO589819 WBS589813:WBS589819 VRW589813:VRW589819 VIA589813:VIA589819 UYE589813:UYE589819 UOI589813:UOI589819 UEM589813:UEM589819 TUQ589813:TUQ589819 TKU589813:TKU589819 TAY589813:TAY589819 SRC589813:SRC589819 SHG589813:SHG589819 RXK589813:RXK589819 RNO589813:RNO589819 RDS589813:RDS589819 QTW589813:QTW589819 QKA589813:QKA589819 QAE589813:QAE589819 PQI589813:PQI589819 PGM589813:PGM589819 OWQ589813:OWQ589819 OMU589813:OMU589819 OCY589813:OCY589819 NTC589813:NTC589819 NJG589813:NJG589819 MZK589813:MZK589819 MPO589813:MPO589819 MFS589813:MFS589819 LVW589813:LVW589819 LMA589813:LMA589819 LCE589813:LCE589819 KSI589813:KSI589819 KIM589813:KIM589819 JYQ589813:JYQ589819 JOU589813:JOU589819 JEY589813:JEY589819 IVC589813:IVC589819 ILG589813:ILG589819 IBK589813:IBK589819 HRO589813:HRO589819 HHS589813:HHS589819 GXW589813:GXW589819 GOA589813:GOA589819 GEE589813:GEE589819 FUI589813:FUI589819 FKM589813:FKM589819 FAQ589813:FAQ589819 EQU589813:EQU589819 EGY589813:EGY589819 DXC589813:DXC589819 DNG589813:DNG589819 DDK589813:DDK589819 CTO589813:CTO589819 CJS589813:CJS589819 BZW589813:BZW589819 BQA589813:BQA589819 BGE589813:BGE589819 AWI589813:AWI589819 AMM589813:AMM589819 ACQ589813:ACQ589819 SU589813:SU589819 IY589813:IY589819 WVK524277:WVK524283 WLO524277:WLO524283 WBS524277:WBS524283 VRW524277:VRW524283 VIA524277:VIA524283 UYE524277:UYE524283 UOI524277:UOI524283 UEM524277:UEM524283 TUQ524277:TUQ524283 TKU524277:TKU524283 TAY524277:TAY524283 SRC524277:SRC524283 SHG524277:SHG524283 RXK524277:RXK524283 RNO524277:RNO524283 RDS524277:RDS524283 QTW524277:QTW524283 QKA524277:QKA524283 QAE524277:QAE524283 PQI524277:PQI524283 PGM524277:PGM524283 OWQ524277:OWQ524283 OMU524277:OMU524283 OCY524277:OCY524283 NTC524277:NTC524283 NJG524277:NJG524283 MZK524277:MZK524283 MPO524277:MPO524283 MFS524277:MFS524283 LVW524277:LVW524283 LMA524277:LMA524283 LCE524277:LCE524283 KSI524277:KSI524283 KIM524277:KIM524283 JYQ524277:JYQ524283 JOU524277:JOU524283 JEY524277:JEY524283 IVC524277:IVC524283 ILG524277:ILG524283 IBK524277:IBK524283 HRO524277:HRO524283 HHS524277:HHS524283 GXW524277:GXW524283 GOA524277:GOA524283 GEE524277:GEE524283 FUI524277:FUI524283 FKM524277:FKM524283 FAQ524277:FAQ524283 EQU524277:EQU524283 EGY524277:EGY524283 DXC524277:DXC524283 DNG524277:DNG524283 DDK524277:DDK524283 CTO524277:CTO524283 CJS524277:CJS524283 BZW524277:BZW524283 BQA524277:BQA524283 BGE524277:BGE524283 AWI524277:AWI524283 AMM524277:AMM524283 ACQ524277:ACQ524283 SU524277:SU524283 IY524277:IY524283 WVK458741:WVK458747 WLO458741:WLO458747 WBS458741:WBS458747 VRW458741:VRW458747 VIA458741:VIA458747 UYE458741:UYE458747 UOI458741:UOI458747 UEM458741:UEM458747 TUQ458741:TUQ458747 TKU458741:TKU458747 TAY458741:TAY458747 SRC458741:SRC458747 SHG458741:SHG458747 RXK458741:RXK458747 RNO458741:RNO458747 RDS458741:RDS458747 QTW458741:QTW458747 QKA458741:QKA458747 QAE458741:QAE458747 PQI458741:PQI458747 PGM458741:PGM458747 OWQ458741:OWQ458747 OMU458741:OMU458747 OCY458741:OCY458747 NTC458741:NTC458747 NJG458741:NJG458747 MZK458741:MZK458747 MPO458741:MPO458747 MFS458741:MFS458747 LVW458741:LVW458747 LMA458741:LMA458747 LCE458741:LCE458747 KSI458741:KSI458747 KIM458741:KIM458747 JYQ458741:JYQ458747 JOU458741:JOU458747 JEY458741:JEY458747 IVC458741:IVC458747 ILG458741:ILG458747 IBK458741:IBK458747 HRO458741:HRO458747 HHS458741:HHS458747 GXW458741:GXW458747 GOA458741:GOA458747 GEE458741:GEE458747 FUI458741:FUI458747 FKM458741:FKM458747 FAQ458741:FAQ458747 EQU458741:EQU458747 EGY458741:EGY458747 DXC458741:DXC458747 DNG458741:DNG458747 DDK458741:DDK458747 CTO458741:CTO458747 CJS458741:CJS458747 BZW458741:BZW458747 BQA458741:BQA458747 BGE458741:BGE458747 AWI458741:AWI458747 AMM458741:AMM458747 ACQ458741:ACQ458747 SU458741:SU458747 IY458741:IY458747 WVK393205:WVK393211 WLO393205:WLO393211 WBS393205:WBS393211 VRW393205:VRW393211 VIA393205:VIA393211 UYE393205:UYE393211 UOI393205:UOI393211 UEM393205:UEM393211 TUQ393205:TUQ393211 TKU393205:TKU393211 TAY393205:TAY393211 SRC393205:SRC393211 SHG393205:SHG393211 RXK393205:RXK393211 RNO393205:RNO393211 RDS393205:RDS393211 QTW393205:QTW393211 QKA393205:QKA393211 QAE393205:QAE393211 PQI393205:PQI393211 PGM393205:PGM393211 OWQ393205:OWQ393211 OMU393205:OMU393211 OCY393205:OCY393211 NTC393205:NTC393211 NJG393205:NJG393211 MZK393205:MZK393211 MPO393205:MPO393211 MFS393205:MFS393211 LVW393205:LVW393211 LMA393205:LMA393211 LCE393205:LCE393211 KSI393205:KSI393211 KIM393205:KIM393211 JYQ393205:JYQ393211 JOU393205:JOU393211 JEY393205:JEY393211 IVC393205:IVC393211 ILG393205:ILG393211 IBK393205:IBK393211 HRO393205:HRO393211 HHS393205:HHS393211 GXW393205:GXW393211 GOA393205:GOA393211 GEE393205:GEE393211 FUI393205:FUI393211 FKM393205:FKM393211 FAQ393205:FAQ393211 EQU393205:EQU393211 EGY393205:EGY393211 DXC393205:DXC393211 DNG393205:DNG393211 DDK393205:DDK393211 CTO393205:CTO393211 CJS393205:CJS393211 BZW393205:BZW393211 BQA393205:BQA393211 BGE393205:BGE393211 AWI393205:AWI393211 AMM393205:AMM393211 ACQ393205:ACQ393211 SU393205:SU393211 IY393205:IY393211 WVK327669:WVK327675 WLO327669:WLO327675 WBS327669:WBS327675 VRW327669:VRW327675 VIA327669:VIA327675 UYE327669:UYE327675 UOI327669:UOI327675 UEM327669:UEM327675 TUQ327669:TUQ327675 TKU327669:TKU327675 TAY327669:TAY327675 SRC327669:SRC327675 SHG327669:SHG327675 RXK327669:RXK327675 RNO327669:RNO327675 RDS327669:RDS327675 QTW327669:QTW327675 QKA327669:QKA327675 QAE327669:QAE327675 PQI327669:PQI327675 PGM327669:PGM327675 OWQ327669:OWQ327675 OMU327669:OMU327675 OCY327669:OCY327675 NTC327669:NTC327675 NJG327669:NJG327675 MZK327669:MZK327675 MPO327669:MPO327675 MFS327669:MFS327675 LVW327669:LVW327675 LMA327669:LMA327675 LCE327669:LCE327675 KSI327669:KSI327675 KIM327669:KIM327675 JYQ327669:JYQ327675 JOU327669:JOU327675 JEY327669:JEY327675 IVC327669:IVC327675 ILG327669:ILG327675 IBK327669:IBK327675 HRO327669:HRO327675 HHS327669:HHS327675 GXW327669:GXW327675 GOA327669:GOA327675 GEE327669:GEE327675 FUI327669:FUI327675 FKM327669:FKM327675 FAQ327669:FAQ327675 EQU327669:EQU327675 EGY327669:EGY327675 DXC327669:DXC327675 DNG327669:DNG327675 DDK327669:DDK327675 CTO327669:CTO327675 CJS327669:CJS327675 BZW327669:BZW327675 BQA327669:BQA327675 BGE327669:BGE327675 AWI327669:AWI327675 AMM327669:AMM327675 ACQ327669:ACQ327675 SU327669:SU327675 IY327669:IY327675 WVK262133:WVK262139 WLO262133:WLO262139 WBS262133:WBS262139 VRW262133:VRW262139 VIA262133:VIA262139 UYE262133:UYE262139 UOI262133:UOI262139 UEM262133:UEM262139 TUQ262133:TUQ262139 TKU262133:TKU262139 TAY262133:TAY262139 SRC262133:SRC262139 SHG262133:SHG262139 RXK262133:RXK262139 RNO262133:RNO262139 RDS262133:RDS262139 QTW262133:QTW262139 QKA262133:QKA262139 QAE262133:QAE262139 PQI262133:PQI262139 PGM262133:PGM262139 OWQ262133:OWQ262139 OMU262133:OMU262139 OCY262133:OCY262139 NTC262133:NTC262139 NJG262133:NJG262139 MZK262133:MZK262139 MPO262133:MPO262139 MFS262133:MFS262139 LVW262133:LVW262139 LMA262133:LMA262139 LCE262133:LCE262139 KSI262133:KSI262139 KIM262133:KIM262139 JYQ262133:JYQ262139 JOU262133:JOU262139 JEY262133:JEY262139 IVC262133:IVC262139 ILG262133:ILG262139 IBK262133:IBK262139 HRO262133:HRO262139 HHS262133:HHS262139 GXW262133:GXW262139 GOA262133:GOA262139 GEE262133:GEE262139 FUI262133:FUI262139 FKM262133:FKM262139 FAQ262133:FAQ262139 EQU262133:EQU262139 EGY262133:EGY262139 DXC262133:DXC262139 DNG262133:DNG262139 DDK262133:DDK262139 CTO262133:CTO262139 CJS262133:CJS262139 BZW262133:BZW262139 BQA262133:BQA262139 BGE262133:BGE262139 AWI262133:AWI262139 AMM262133:AMM262139 ACQ262133:ACQ262139 SU262133:SU262139 IY262133:IY262139 WVK196597:WVK196603 WLO196597:WLO196603 WBS196597:WBS196603 VRW196597:VRW196603 VIA196597:VIA196603 UYE196597:UYE196603 UOI196597:UOI196603 UEM196597:UEM196603 TUQ196597:TUQ196603 TKU196597:TKU196603 TAY196597:TAY196603 SRC196597:SRC196603 SHG196597:SHG196603 RXK196597:RXK196603 RNO196597:RNO196603 RDS196597:RDS196603 QTW196597:QTW196603 QKA196597:QKA196603 QAE196597:QAE196603 PQI196597:PQI196603 PGM196597:PGM196603 OWQ196597:OWQ196603 OMU196597:OMU196603 OCY196597:OCY196603 NTC196597:NTC196603 NJG196597:NJG196603 MZK196597:MZK196603 MPO196597:MPO196603 MFS196597:MFS196603 LVW196597:LVW196603 LMA196597:LMA196603 LCE196597:LCE196603 KSI196597:KSI196603 KIM196597:KIM196603 JYQ196597:JYQ196603 JOU196597:JOU196603 JEY196597:JEY196603 IVC196597:IVC196603 ILG196597:ILG196603 IBK196597:IBK196603 HRO196597:HRO196603 HHS196597:HHS196603 GXW196597:GXW196603 GOA196597:GOA196603 GEE196597:GEE196603 FUI196597:FUI196603 FKM196597:FKM196603 FAQ196597:FAQ196603 EQU196597:EQU196603 EGY196597:EGY196603 DXC196597:DXC196603 DNG196597:DNG196603 DDK196597:DDK196603 CTO196597:CTO196603 CJS196597:CJS196603 BZW196597:BZW196603 BQA196597:BQA196603 BGE196597:BGE196603 AWI196597:AWI196603 AMM196597:AMM196603 ACQ196597:ACQ196603 SU196597:SU196603 IY196597:IY196603 WVK131061:WVK131067 WLO131061:WLO131067 WBS131061:WBS131067 VRW131061:VRW131067 VIA131061:VIA131067 UYE131061:UYE131067 UOI131061:UOI131067 UEM131061:UEM131067 TUQ131061:TUQ131067 TKU131061:TKU131067 TAY131061:TAY131067 SRC131061:SRC131067 SHG131061:SHG131067 RXK131061:RXK131067 RNO131061:RNO131067 RDS131061:RDS131067 QTW131061:QTW131067 QKA131061:QKA131067 QAE131061:QAE131067 PQI131061:PQI131067 PGM131061:PGM131067 OWQ131061:OWQ131067 OMU131061:OMU131067 OCY131061:OCY131067 NTC131061:NTC131067 NJG131061:NJG131067 MZK131061:MZK131067 MPO131061:MPO131067 MFS131061:MFS131067 LVW131061:LVW131067 LMA131061:LMA131067 LCE131061:LCE131067 KSI131061:KSI131067 KIM131061:KIM131067 JYQ131061:JYQ131067 JOU131061:JOU131067 JEY131061:JEY131067 IVC131061:IVC131067 ILG131061:ILG131067 IBK131061:IBK131067 HRO131061:HRO131067 HHS131061:HHS131067 GXW131061:GXW131067 GOA131061:GOA131067 GEE131061:GEE131067 FUI131061:FUI131067 FKM131061:FKM131067 FAQ131061:FAQ131067 EQU131061:EQU131067 EGY131061:EGY131067 DXC131061:DXC131067 DNG131061:DNG131067 DDK131061:DDK131067 CTO131061:CTO131067 CJS131061:CJS131067 BZW131061:BZW131067 BQA131061:BQA131067 BGE131061:BGE131067 AWI131061:AWI131067 AMM131061:AMM131067 ACQ131061:ACQ131067 SU131061:SU131067 IY131061:IY131067 WVK65525:WVK65531 WLO65525:WLO65531 WBS65525:WBS65531 VRW65525:VRW65531 VIA65525:VIA65531 UYE65525:UYE65531 UOI65525:UOI65531 UEM65525:UEM65531 TUQ65525:TUQ65531 TKU65525:TKU65531 TAY65525:TAY65531 SRC65525:SRC65531 SHG65525:SHG65531 RXK65525:RXK65531 RNO65525:RNO65531 RDS65525:RDS65531 QTW65525:QTW65531 QKA65525:QKA65531 QAE65525:QAE65531 PQI65525:PQI65531 PGM65525:PGM65531 OWQ65525:OWQ65531 OMU65525:OMU65531 OCY65525:OCY65531 NTC65525:NTC65531 NJG65525:NJG65531 MZK65525:MZK65531 MPO65525:MPO65531 MFS65525:MFS65531 LVW65525:LVW65531 LMA65525:LMA65531 LCE65525:LCE65531 KSI65525:KSI65531 KIM65525:KIM65531 JYQ65525:JYQ65531 JOU65525:JOU65531 JEY65525:JEY65531 IVC65525:IVC65531 ILG65525:ILG65531 IBK65525:IBK65531 HRO65525:HRO65531 HHS65525:HHS65531 GXW65525:GXW65531 GOA65525:GOA65531 GEE65525:GEE65531 FUI65525:FUI65531 FKM65525:FKM65531 FAQ65525:FAQ65531 EQU65525:EQU65531 EGY65525:EGY65531 DXC65525:DXC65531 DNG65525:DNG65531 DDK65525:DDK65531 CTO65525:CTO65531 CJS65525:CJS65531 BZW65525:BZW65531 BQA65525:BQA65531 BGE65525:BGE65531 AWI65525:AWI65531 AMM65525:AMM65531 ACQ65525:ACQ65531 SU65525:SU65531 IY65525:IY65531" xr:uid="{00000000-0002-0000-0D00-000000000000}">
      <formula1>#REF!</formula1>
    </dataValidation>
  </dataValidations>
  <printOptions horizontalCentered="1"/>
  <pageMargins left="0.51181102362204722" right="0.51181102362204722" top="0.98425196850393704" bottom="0.78740157480314965" header="0.31496062992125984" footer="0.31496062992125984"/>
  <pageSetup paperSize="9" scale="67" fitToHeight="0" orientation="portrait" r:id="rId1"/>
  <headerFooter>
    <oddHeader>&amp;L&amp;G&amp;R&amp;G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B1:AM24"/>
  <sheetViews>
    <sheetView showGridLines="0" view="pageBreakPreview" zoomScale="70" zoomScaleNormal="100" zoomScaleSheetLayoutView="70" workbookViewId="0">
      <selection activeCell="Y34" sqref="Y34"/>
    </sheetView>
  </sheetViews>
  <sheetFormatPr defaultRowHeight="12.75" x14ac:dyDescent="0.2"/>
  <cols>
    <col min="1" max="1" width="3.6640625" style="1" customWidth="1"/>
    <col min="2" max="2" width="46" style="1" customWidth="1"/>
    <col min="3" max="3" width="7.33203125" style="2" hidden="1" customWidth="1"/>
    <col min="4" max="4" width="2.1640625" style="1" hidden="1" customWidth="1"/>
    <col min="5" max="5" width="8.6640625" style="3" hidden="1" customWidth="1"/>
    <col min="6" max="6" width="6.6640625" style="2" hidden="1" customWidth="1"/>
    <col min="7" max="7" width="2.33203125" style="2" hidden="1" customWidth="1"/>
    <col min="8" max="8" width="8" style="4" hidden="1" customWidth="1"/>
    <col min="9" max="9" width="11.6640625" style="5" hidden="1" customWidth="1"/>
    <col min="10" max="11" width="10.1640625" style="1" hidden="1" customWidth="1"/>
    <col min="12" max="12" width="13.1640625" style="1" hidden="1" customWidth="1"/>
    <col min="13" max="13" width="14.83203125" style="1" customWidth="1"/>
    <col min="14" max="14" width="10.6640625" style="1" customWidth="1"/>
    <col min="15" max="15" width="27.6640625" style="1" customWidth="1"/>
    <col min="16" max="16" width="19.1640625" style="1" customWidth="1"/>
    <col min="17" max="17" width="15.33203125" style="1" bestFit="1" customWidth="1"/>
    <col min="18" max="18" width="15.33203125" style="1" customWidth="1"/>
    <col min="19" max="19" width="14.33203125" style="1" customWidth="1"/>
    <col min="20" max="20" width="16" style="1" customWidth="1"/>
    <col min="21" max="21" width="21.1640625" style="1" customWidth="1"/>
    <col min="22" max="23" width="14.33203125" style="1" customWidth="1"/>
    <col min="24" max="24" width="17.6640625" style="1" customWidth="1"/>
    <col min="25" max="25" width="16.5" style="1" customWidth="1"/>
    <col min="26" max="26" width="16.33203125" style="1" customWidth="1"/>
    <col min="27" max="27" width="15.1640625" style="1" customWidth="1"/>
    <col min="28" max="28" width="14" style="1" customWidth="1"/>
    <col min="29" max="29" width="17" style="1" customWidth="1"/>
    <col min="30" max="32" width="14" style="1" customWidth="1"/>
    <col min="33" max="33" width="15.83203125" style="1" customWidth="1"/>
    <col min="34" max="35" width="12" style="1" customWidth="1"/>
    <col min="36" max="36" width="15.83203125" style="1" customWidth="1"/>
    <col min="37" max="37" width="18.33203125" style="1" customWidth="1"/>
    <col min="38" max="38" width="12" style="1" customWidth="1"/>
    <col min="39" max="39" width="13.33203125" style="1" customWidth="1"/>
    <col min="40" max="274" width="9.33203125" style="1"/>
    <col min="275" max="275" width="2.6640625" style="1" customWidth="1"/>
    <col min="276" max="276" width="5" style="1" customWidth="1"/>
    <col min="277" max="277" width="43.1640625" style="1" customWidth="1"/>
    <col min="278" max="278" width="14.83203125" style="1" customWidth="1"/>
    <col min="279" max="279" width="9.33203125" style="1" customWidth="1"/>
    <col min="280" max="280" width="14.6640625" style="1" customWidth="1"/>
    <col min="281" max="281" width="11.33203125" style="1" customWidth="1"/>
    <col min="282" max="282" width="13.33203125" style="1" customWidth="1"/>
    <col min="283" max="283" width="9.6640625" style="1" customWidth="1"/>
    <col min="284" max="284" width="17.1640625" style="1" customWidth="1"/>
    <col min="285" max="285" width="8.83203125" style="1" customWidth="1"/>
    <col min="286" max="286" width="10.83203125" style="1" customWidth="1"/>
    <col min="287" max="287" width="11.6640625" style="1" customWidth="1"/>
    <col min="288" max="288" width="12.6640625" style="1" customWidth="1"/>
    <col min="289" max="289" width="13.33203125" style="1" customWidth="1"/>
    <col min="290" max="290" width="10.1640625" style="1" customWidth="1"/>
    <col min="291" max="291" width="11.5" style="1" customWidth="1"/>
    <col min="292" max="293" width="12" style="1" customWidth="1"/>
    <col min="294" max="294" width="9.6640625" style="1" customWidth="1"/>
    <col min="295" max="295" width="2.5" style="1" customWidth="1"/>
    <col min="296" max="530" width="9.33203125" style="1"/>
    <col min="531" max="531" width="2.6640625" style="1" customWidth="1"/>
    <col min="532" max="532" width="5" style="1" customWidth="1"/>
    <col min="533" max="533" width="43.1640625" style="1" customWidth="1"/>
    <col min="534" max="534" width="14.83203125" style="1" customWidth="1"/>
    <col min="535" max="535" width="9.33203125" style="1" customWidth="1"/>
    <col min="536" max="536" width="14.6640625" style="1" customWidth="1"/>
    <col min="537" max="537" width="11.33203125" style="1" customWidth="1"/>
    <col min="538" max="538" width="13.33203125" style="1" customWidth="1"/>
    <col min="539" max="539" width="9.6640625" style="1" customWidth="1"/>
    <col min="540" max="540" width="17.1640625" style="1" customWidth="1"/>
    <col min="541" max="541" width="8.83203125" style="1" customWidth="1"/>
    <col min="542" max="542" width="10.83203125" style="1" customWidth="1"/>
    <col min="543" max="543" width="11.6640625" style="1" customWidth="1"/>
    <col min="544" max="544" width="12.6640625" style="1" customWidth="1"/>
    <col min="545" max="545" width="13.33203125" style="1" customWidth="1"/>
    <col min="546" max="546" width="10.1640625" style="1" customWidth="1"/>
    <col min="547" max="547" width="11.5" style="1" customWidth="1"/>
    <col min="548" max="549" width="12" style="1" customWidth="1"/>
    <col min="550" max="550" width="9.6640625" style="1" customWidth="1"/>
    <col min="551" max="551" width="2.5" style="1" customWidth="1"/>
    <col min="552" max="786" width="9.33203125" style="1"/>
    <col min="787" max="787" width="2.6640625" style="1" customWidth="1"/>
    <col min="788" max="788" width="5" style="1" customWidth="1"/>
    <col min="789" max="789" width="43.1640625" style="1" customWidth="1"/>
    <col min="790" max="790" width="14.83203125" style="1" customWidth="1"/>
    <col min="791" max="791" width="9.33203125" style="1" customWidth="1"/>
    <col min="792" max="792" width="14.6640625" style="1" customWidth="1"/>
    <col min="793" max="793" width="11.33203125" style="1" customWidth="1"/>
    <col min="794" max="794" width="13.33203125" style="1" customWidth="1"/>
    <col min="795" max="795" width="9.6640625" style="1" customWidth="1"/>
    <col min="796" max="796" width="17.1640625" style="1" customWidth="1"/>
    <col min="797" max="797" width="8.83203125" style="1" customWidth="1"/>
    <col min="798" max="798" width="10.83203125" style="1" customWidth="1"/>
    <col min="799" max="799" width="11.6640625" style="1" customWidth="1"/>
    <col min="800" max="800" width="12.6640625" style="1" customWidth="1"/>
    <col min="801" max="801" width="13.33203125" style="1" customWidth="1"/>
    <col min="802" max="802" width="10.1640625" style="1" customWidth="1"/>
    <col min="803" max="803" width="11.5" style="1" customWidth="1"/>
    <col min="804" max="805" width="12" style="1" customWidth="1"/>
    <col min="806" max="806" width="9.6640625" style="1" customWidth="1"/>
    <col min="807" max="807" width="2.5" style="1" customWidth="1"/>
    <col min="808" max="1042" width="9.33203125" style="1"/>
    <col min="1043" max="1043" width="2.6640625" style="1" customWidth="1"/>
    <col min="1044" max="1044" width="5" style="1" customWidth="1"/>
    <col min="1045" max="1045" width="43.1640625" style="1" customWidth="1"/>
    <col min="1046" max="1046" width="14.83203125" style="1" customWidth="1"/>
    <col min="1047" max="1047" width="9.33203125" style="1" customWidth="1"/>
    <col min="1048" max="1048" width="14.6640625" style="1" customWidth="1"/>
    <col min="1049" max="1049" width="11.33203125" style="1" customWidth="1"/>
    <col min="1050" max="1050" width="13.33203125" style="1" customWidth="1"/>
    <col min="1051" max="1051" width="9.6640625" style="1" customWidth="1"/>
    <col min="1052" max="1052" width="17.1640625" style="1" customWidth="1"/>
    <col min="1053" max="1053" width="8.83203125" style="1" customWidth="1"/>
    <col min="1054" max="1054" width="10.83203125" style="1" customWidth="1"/>
    <col min="1055" max="1055" width="11.6640625" style="1" customWidth="1"/>
    <col min="1056" max="1056" width="12.6640625" style="1" customWidth="1"/>
    <col min="1057" max="1057" width="13.33203125" style="1" customWidth="1"/>
    <col min="1058" max="1058" width="10.1640625" style="1" customWidth="1"/>
    <col min="1059" max="1059" width="11.5" style="1" customWidth="1"/>
    <col min="1060" max="1061" width="12" style="1" customWidth="1"/>
    <col min="1062" max="1062" width="9.6640625" style="1" customWidth="1"/>
    <col min="1063" max="1063" width="2.5" style="1" customWidth="1"/>
    <col min="1064" max="1298" width="9.33203125" style="1"/>
    <col min="1299" max="1299" width="2.6640625" style="1" customWidth="1"/>
    <col min="1300" max="1300" width="5" style="1" customWidth="1"/>
    <col min="1301" max="1301" width="43.1640625" style="1" customWidth="1"/>
    <col min="1302" max="1302" width="14.83203125" style="1" customWidth="1"/>
    <col min="1303" max="1303" width="9.33203125" style="1" customWidth="1"/>
    <col min="1304" max="1304" width="14.6640625" style="1" customWidth="1"/>
    <col min="1305" max="1305" width="11.33203125" style="1" customWidth="1"/>
    <col min="1306" max="1306" width="13.33203125" style="1" customWidth="1"/>
    <col min="1307" max="1307" width="9.6640625" style="1" customWidth="1"/>
    <col min="1308" max="1308" width="17.1640625" style="1" customWidth="1"/>
    <col min="1309" max="1309" width="8.83203125" style="1" customWidth="1"/>
    <col min="1310" max="1310" width="10.83203125" style="1" customWidth="1"/>
    <col min="1311" max="1311" width="11.6640625" style="1" customWidth="1"/>
    <col min="1312" max="1312" width="12.6640625" style="1" customWidth="1"/>
    <col min="1313" max="1313" width="13.33203125" style="1" customWidth="1"/>
    <col min="1314" max="1314" width="10.1640625" style="1" customWidth="1"/>
    <col min="1315" max="1315" width="11.5" style="1" customWidth="1"/>
    <col min="1316" max="1317" width="12" style="1" customWidth="1"/>
    <col min="1318" max="1318" width="9.6640625" style="1" customWidth="1"/>
    <col min="1319" max="1319" width="2.5" style="1" customWidth="1"/>
    <col min="1320" max="1554" width="9.33203125" style="1"/>
    <col min="1555" max="1555" width="2.6640625" style="1" customWidth="1"/>
    <col min="1556" max="1556" width="5" style="1" customWidth="1"/>
    <col min="1557" max="1557" width="43.1640625" style="1" customWidth="1"/>
    <col min="1558" max="1558" width="14.83203125" style="1" customWidth="1"/>
    <col min="1559" max="1559" width="9.33203125" style="1" customWidth="1"/>
    <col min="1560" max="1560" width="14.6640625" style="1" customWidth="1"/>
    <col min="1561" max="1561" width="11.33203125" style="1" customWidth="1"/>
    <col min="1562" max="1562" width="13.33203125" style="1" customWidth="1"/>
    <col min="1563" max="1563" width="9.6640625" style="1" customWidth="1"/>
    <col min="1564" max="1564" width="17.1640625" style="1" customWidth="1"/>
    <col min="1565" max="1565" width="8.83203125" style="1" customWidth="1"/>
    <col min="1566" max="1566" width="10.83203125" style="1" customWidth="1"/>
    <col min="1567" max="1567" width="11.6640625" style="1" customWidth="1"/>
    <col min="1568" max="1568" width="12.6640625" style="1" customWidth="1"/>
    <col min="1569" max="1569" width="13.33203125" style="1" customWidth="1"/>
    <col min="1570" max="1570" width="10.1640625" style="1" customWidth="1"/>
    <col min="1571" max="1571" width="11.5" style="1" customWidth="1"/>
    <col min="1572" max="1573" width="12" style="1" customWidth="1"/>
    <col min="1574" max="1574" width="9.6640625" style="1" customWidth="1"/>
    <col min="1575" max="1575" width="2.5" style="1" customWidth="1"/>
    <col min="1576" max="1810" width="9.33203125" style="1"/>
    <col min="1811" max="1811" width="2.6640625" style="1" customWidth="1"/>
    <col min="1812" max="1812" width="5" style="1" customWidth="1"/>
    <col min="1813" max="1813" width="43.1640625" style="1" customWidth="1"/>
    <col min="1814" max="1814" width="14.83203125" style="1" customWidth="1"/>
    <col min="1815" max="1815" width="9.33203125" style="1" customWidth="1"/>
    <col min="1816" max="1816" width="14.6640625" style="1" customWidth="1"/>
    <col min="1817" max="1817" width="11.33203125" style="1" customWidth="1"/>
    <col min="1818" max="1818" width="13.33203125" style="1" customWidth="1"/>
    <col min="1819" max="1819" width="9.6640625" style="1" customWidth="1"/>
    <col min="1820" max="1820" width="17.1640625" style="1" customWidth="1"/>
    <col min="1821" max="1821" width="8.83203125" style="1" customWidth="1"/>
    <col min="1822" max="1822" width="10.83203125" style="1" customWidth="1"/>
    <col min="1823" max="1823" width="11.6640625" style="1" customWidth="1"/>
    <col min="1824" max="1824" width="12.6640625" style="1" customWidth="1"/>
    <col min="1825" max="1825" width="13.33203125" style="1" customWidth="1"/>
    <col min="1826" max="1826" width="10.1640625" style="1" customWidth="1"/>
    <col min="1827" max="1827" width="11.5" style="1" customWidth="1"/>
    <col min="1828" max="1829" width="12" style="1" customWidth="1"/>
    <col min="1830" max="1830" width="9.6640625" style="1" customWidth="1"/>
    <col min="1831" max="1831" width="2.5" style="1" customWidth="1"/>
    <col min="1832" max="2066" width="9.33203125" style="1"/>
    <col min="2067" max="2067" width="2.6640625" style="1" customWidth="1"/>
    <col min="2068" max="2068" width="5" style="1" customWidth="1"/>
    <col min="2069" max="2069" width="43.1640625" style="1" customWidth="1"/>
    <col min="2070" max="2070" width="14.83203125" style="1" customWidth="1"/>
    <col min="2071" max="2071" width="9.33203125" style="1" customWidth="1"/>
    <col min="2072" max="2072" width="14.6640625" style="1" customWidth="1"/>
    <col min="2073" max="2073" width="11.33203125" style="1" customWidth="1"/>
    <col min="2074" max="2074" width="13.33203125" style="1" customWidth="1"/>
    <col min="2075" max="2075" width="9.6640625" style="1" customWidth="1"/>
    <col min="2076" max="2076" width="17.1640625" style="1" customWidth="1"/>
    <col min="2077" max="2077" width="8.83203125" style="1" customWidth="1"/>
    <col min="2078" max="2078" width="10.83203125" style="1" customWidth="1"/>
    <col min="2079" max="2079" width="11.6640625" style="1" customWidth="1"/>
    <col min="2080" max="2080" width="12.6640625" style="1" customWidth="1"/>
    <col min="2081" max="2081" width="13.33203125" style="1" customWidth="1"/>
    <col min="2082" max="2082" width="10.1640625" style="1" customWidth="1"/>
    <col min="2083" max="2083" width="11.5" style="1" customWidth="1"/>
    <col min="2084" max="2085" width="12" style="1" customWidth="1"/>
    <col min="2086" max="2086" width="9.6640625" style="1" customWidth="1"/>
    <col min="2087" max="2087" width="2.5" style="1" customWidth="1"/>
    <col min="2088" max="2322" width="9.33203125" style="1"/>
    <col min="2323" max="2323" width="2.6640625" style="1" customWidth="1"/>
    <col min="2324" max="2324" width="5" style="1" customWidth="1"/>
    <col min="2325" max="2325" width="43.1640625" style="1" customWidth="1"/>
    <col min="2326" max="2326" width="14.83203125" style="1" customWidth="1"/>
    <col min="2327" max="2327" width="9.33203125" style="1" customWidth="1"/>
    <col min="2328" max="2328" width="14.6640625" style="1" customWidth="1"/>
    <col min="2329" max="2329" width="11.33203125" style="1" customWidth="1"/>
    <col min="2330" max="2330" width="13.33203125" style="1" customWidth="1"/>
    <col min="2331" max="2331" width="9.6640625" style="1" customWidth="1"/>
    <col min="2332" max="2332" width="17.1640625" style="1" customWidth="1"/>
    <col min="2333" max="2333" width="8.83203125" style="1" customWidth="1"/>
    <col min="2334" max="2334" width="10.83203125" style="1" customWidth="1"/>
    <col min="2335" max="2335" width="11.6640625" style="1" customWidth="1"/>
    <col min="2336" max="2336" width="12.6640625" style="1" customWidth="1"/>
    <col min="2337" max="2337" width="13.33203125" style="1" customWidth="1"/>
    <col min="2338" max="2338" width="10.1640625" style="1" customWidth="1"/>
    <col min="2339" max="2339" width="11.5" style="1" customWidth="1"/>
    <col min="2340" max="2341" width="12" style="1" customWidth="1"/>
    <col min="2342" max="2342" width="9.6640625" style="1" customWidth="1"/>
    <col min="2343" max="2343" width="2.5" style="1" customWidth="1"/>
    <col min="2344" max="2578" width="9.33203125" style="1"/>
    <col min="2579" max="2579" width="2.6640625" style="1" customWidth="1"/>
    <col min="2580" max="2580" width="5" style="1" customWidth="1"/>
    <col min="2581" max="2581" width="43.1640625" style="1" customWidth="1"/>
    <col min="2582" max="2582" width="14.83203125" style="1" customWidth="1"/>
    <col min="2583" max="2583" width="9.33203125" style="1" customWidth="1"/>
    <col min="2584" max="2584" width="14.6640625" style="1" customWidth="1"/>
    <col min="2585" max="2585" width="11.33203125" style="1" customWidth="1"/>
    <col min="2586" max="2586" width="13.33203125" style="1" customWidth="1"/>
    <col min="2587" max="2587" width="9.6640625" style="1" customWidth="1"/>
    <col min="2588" max="2588" width="17.1640625" style="1" customWidth="1"/>
    <col min="2589" max="2589" width="8.83203125" style="1" customWidth="1"/>
    <col min="2590" max="2590" width="10.83203125" style="1" customWidth="1"/>
    <col min="2591" max="2591" width="11.6640625" style="1" customWidth="1"/>
    <col min="2592" max="2592" width="12.6640625" style="1" customWidth="1"/>
    <col min="2593" max="2593" width="13.33203125" style="1" customWidth="1"/>
    <col min="2594" max="2594" width="10.1640625" style="1" customWidth="1"/>
    <col min="2595" max="2595" width="11.5" style="1" customWidth="1"/>
    <col min="2596" max="2597" width="12" style="1" customWidth="1"/>
    <col min="2598" max="2598" width="9.6640625" style="1" customWidth="1"/>
    <col min="2599" max="2599" width="2.5" style="1" customWidth="1"/>
    <col min="2600" max="2834" width="9.33203125" style="1"/>
    <col min="2835" max="2835" width="2.6640625" style="1" customWidth="1"/>
    <col min="2836" max="2836" width="5" style="1" customWidth="1"/>
    <col min="2837" max="2837" width="43.1640625" style="1" customWidth="1"/>
    <col min="2838" max="2838" width="14.83203125" style="1" customWidth="1"/>
    <col min="2839" max="2839" width="9.33203125" style="1" customWidth="1"/>
    <col min="2840" max="2840" width="14.6640625" style="1" customWidth="1"/>
    <col min="2841" max="2841" width="11.33203125" style="1" customWidth="1"/>
    <col min="2842" max="2842" width="13.33203125" style="1" customWidth="1"/>
    <col min="2843" max="2843" width="9.6640625" style="1" customWidth="1"/>
    <col min="2844" max="2844" width="17.1640625" style="1" customWidth="1"/>
    <col min="2845" max="2845" width="8.83203125" style="1" customWidth="1"/>
    <col min="2846" max="2846" width="10.83203125" style="1" customWidth="1"/>
    <col min="2847" max="2847" width="11.6640625" style="1" customWidth="1"/>
    <col min="2848" max="2848" width="12.6640625" style="1" customWidth="1"/>
    <col min="2849" max="2849" width="13.33203125" style="1" customWidth="1"/>
    <col min="2850" max="2850" width="10.1640625" style="1" customWidth="1"/>
    <col min="2851" max="2851" width="11.5" style="1" customWidth="1"/>
    <col min="2852" max="2853" width="12" style="1" customWidth="1"/>
    <col min="2854" max="2854" width="9.6640625" style="1" customWidth="1"/>
    <col min="2855" max="2855" width="2.5" style="1" customWidth="1"/>
    <col min="2856" max="3090" width="9.33203125" style="1"/>
    <col min="3091" max="3091" width="2.6640625" style="1" customWidth="1"/>
    <col min="3092" max="3092" width="5" style="1" customWidth="1"/>
    <col min="3093" max="3093" width="43.1640625" style="1" customWidth="1"/>
    <col min="3094" max="3094" width="14.83203125" style="1" customWidth="1"/>
    <col min="3095" max="3095" width="9.33203125" style="1" customWidth="1"/>
    <col min="3096" max="3096" width="14.6640625" style="1" customWidth="1"/>
    <col min="3097" max="3097" width="11.33203125" style="1" customWidth="1"/>
    <col min="3098" max="3098" width="13.33203125" style="1" customWidth="1"/>
    <col min="3099" max="3099" width="9.6640625" style="1" customWidth="1"/>
    <col min="3100" max="3100" width="17.1640625" style="1" customWidth="1"/>
    <col min="3101" max="3101" width="8.83203125" style="1" customWidth="1"/>
    <col min="3102" max="3102" width="10.83203125" style="1" customWidth="1"/>
    <col min="3103" max="3103" width="11.6640625" style="1" customWidth="1"/>
    <col min="3104" max="3104" width="12.6640625" style="1" customWidth="1"/>
    <col min="3105" max="3105" width="13.33203125" style="1" customWidth="1"/>
    <col min="3106" max="3106" width="10.1640625" style="1" customWidth="1"/>
    <col min="3107" max="3107" width="11.5" style="1" customWidth="1"/>
    <col min="3108" max="3109" width="12" style="1" customWidth="1"/>
    <col min="3110" max="3110" width="9.6640625" style="1" customWidth="1"/>
    <col min="3111" max="3111" width="2.5" style="1" customWidth="1"/>
    <col min="3112" max="3346" width="9.33203125" style="1"/>
    <col min="3347" max="3347" width="2.6640625" style="1" customWidth="1"/>
    <col min="3348" max="3348" width="5" style="1" customWidth="1"/>
    <col min="3349" max="3349" width="43.1640625" style="1" customWidth="1"/>
    <col min="3350" max="3350" width="14.83203125" style="1" customWidth="1"/>
    <col min="3351" max="3351" width="9.33203125" style="1" customWidth="1"/>
    <col min="3352" max="3352" width="14.6640625" style="1" customWidth="1"/>
    <col min="3353" max="3353" width="11.33203125" style="1" customWidth="1"/>
    <col min="3354" max="3354" width="13.33203125" style="1" customWidth="1"/>
    <col min="3355" max="3355" width="9.6640625" style="1" customWidth="1"/>
    <col min="3356" max="3356" width="17.1640625" style="1" customWidth="1"/>
    <col min="3357" max="3357" width="8.83203125" style="1" customWidth="1"/>
    <col min="3358" max="3358" width="10.83203125" style="1" customWidth="1"/>
    <col min="3359" max="3359" width="11.6640625" style="1" customWidth="1"/>
    <col min="3360" max="3360" width="12.6640625" style="1" customWidth="1"/>
    <col min="3361" max="3361" width="13.33203125" style="1" customWidth="1"/>
    <col min="3362" max="3362" width="10.1640625" style="1" customWidth="1"/>
    <col min="3363" max="3363" width="11.5" style="1" customWidth="1"/>
    <col min="3364" max="3365" width="12" style="1" customWidth="1"/>
    <col min="3366" max="3366" width="9.6640625" style="1" customWidth="1"/>
    <col min="3367" max="3367" width="2.5" style="1" customWidth="1"/>
    <col min="3368" max="3602" width="9.33203125" style="1"/>
    <col min="3603" max="3603" width="2.6640625" style="1" customWidth="1"/>
    <col min="3604" max="3604" width="5" style="1" customWidth="1"/>
    <col min="3605" max="3605" width="43.1640625" style="1" customWidth="1"/>
    <col min="3606" max="3606" width="14.83203125" style="1" customWidth="1"/>
    <col min="3607" max="3607" width="9.33203125" style="1" customWidth="1"/>
    <col min="3608" max="3608" width="14.6640625" style="1" customWidth="1"/>
    <col min="3609" max="3609" width="11.33203125" style="1" customWidth="1"/>
    <col min="3610" max="3610" width="13.33203125" style="1" customWidth="1"/>
    <col min="3611" max="3611" width="9.6640625" style="1" customWidth="1"/>
    <col min="3612" max="3612" width="17.1640625" style="1" customWidth="1"/>
    <col min="3613" max="3613" width="8.83203125" style="1" customWidth="1"/>
    <col min="3614" max="3614" width="10.83203125" style="1" customWidth="1"/>
    <col min="3615" max="3615" width="11.6640625" style="1" customWidth="1"/>
    <col min="3616" max="3616" width="12.6640625" style="1" customWidth="1"/>
    <col min="3617" max="3617" width="13.33203125" style="1" customWidth="1"/>
    <col min="3618" max="3618" width="10.1640625" style="1" customWidth="1"/>
    <col min="3619" max="3619" width="11.5" style="1" customWidth="1"/>
    <col min="3620" max="3621" width="12" style="1" customWidth="1"/>
    <col min="3622" max="3622" width="9.6640625" style="1" customWidth="1"/>
    <col min="3623" max="3623" width="2.5" style="1" customWidth="1"/>
    <col min="3624" max="3858" width="9.33203125" style="1"/>
    <col min="3859" max="3859" width="2.6640625" style="1" customWidth="1"/>
    <col min="3860" max="3860" width="5" style="1" customWidth="1"/>
    <col min="3861" max="3861" width="43.1640625" style="1" customWidth="1"/>
    <col min="3862" max="3862" width="14.83203125" style="1" customWidth="1"/>
    <col min="3863" max="3863" width="9.33203125" style="1" customWidth="1"/>
    <col min="3864" max="3864" width="14.6640625" style="1" customWidth="1"/>
    <col min="3865" max="3865" width="11.33203125" style="1" customWidth="1"/>
    <col min="3866" max="3866" width="13.33203125" style="1" customWidth="1"/>
    <col min="3867" max="3867" width="9.6640625" style="1" customWidth="1"/>
    <col min="3868" max="3868" width="17.1640625" style="1" customWidth="1"/>
    <col min="3869" max="3869" width="8.83203125" style="1" customWidth="1"/>
    <col min="3870" max="3870" width="10.83203125" style="1" customWidth="1"/>
    <col min="3871" max="3871" width="11.6640625" style="1" customWidth="1"/>
    <col min="3872" max="3872" width="12.6640625" style="1" customWidth="1"/>
    <col min="3873" max="3873" width="13.33203125" style="1" customWidth="1"/>
    <col min="3874" max="3874" width="10.1640625" style="1" customWidth="1"/>
    <col min="3875" max="3875" width="11.5" style="1" customWidth="1"/>
    <col min="3876" max="3877" width="12" style="1" customWidth="1"/>
    <col min="3878" max="3878" width="9.6640625" style="1" customWidth="1"/>
    <col min="3879" max="3879" width="2.5" style="1" customWidth="1"/>
    <col min="3880" max="4114" width="9.33203125" style="1"/>
    <col min="4115" max="4115" width="2.6640625" style="1" customWidth="1"/>
    <col min="4116" max="4116" width="5" style="1" customWidth="1"/>
    <col min="4117" max="4117" width="43.1640625" style="1" customWidth="1"/>
    <col min="4118" max="4118" width="14.83203125" style="1" customWidth="1"/>
    <col min="4119" max="4119" width="9.33203125" style="1" customWidth="1"/>
    <col min="4120" max="4120" width="14.6640625" style="1" customWidth="1"/>
    <col min="4121" max="4121" width="11.33203125" style="1" customWidth="1"/>
    <col min="4122" max="4122" width="13.33203125" style="1" customWidth="1"/>
    <col min="4123" max="4123" width="9.6640625" style="1" customWidth="1"/>
    <col min="4124" max="4124" width="17.1640625" style="1" customWidth="1"/>
    <col min="4125" max="4125" width="8.83203125" style="1" customWidth="1"/>
    <col min="4126" max="4126" width="10.83203125" style="1" customWidth="1"/>
    <col min="4127" max="4127" width="11.6640625" style="1" customWidth="1"/>
    <col min="4128" max="4128" width="12.6640625" style="1" customWidth="1"/>
    <col min="4129" max="4129" width="13.33203125" style="1" customWidth="1"/>
    <col min="4130" max="4130" width="10.1640625" style="1" customWidth="1"/>
    <col min="4131" max="4131" width="11.5" style="1" customWidth="1"/>
    <col min="4132" max="4133" width="12" style="1" customWidth="1"/>
    <col min="4134" max="4134" width="9.6640625" style="1" customWidth="1"/>
    <col min="4135" max="4135" width="2.5" style="1" customWidth="1"/>
    <col min="4136" max="4370" width="9.33203125" style="1"/>
    <col min="4371" max="4371" width="2.6640625" style="1" customWidth="1"/>
    <col min="4372" max="4372" width="5" style="1" customWidth="1"/>
    <col min="4373" max="4373" width="43.1640625" style="1" customWidth="1"/>
    <col min="4374" max="4374" width="14.83203125" style="1" customWidth="1"/>
    <col min="4375" max="4375" width="9.33203125" style="1" customWidth="1"/>
    <col min="4376" max="4376" width="14.6640625" style="1" customWidth="1"/>
    <col min="4377" max="4377" width="11.33203125" style="1" customWidth="1"/>
    <col min="4378" max="4378" width="13.33203125" style="1" customWidth="1"/>
    <col min="4379" max="4379" width="9.6640625" style="1" customWidth="1"/>
    <col min="4380" max="4380" width="17.1640625" style="1" customWidth="1"/>
    <col min="4381" max="4381" width="8.83203125" style="1" customWidth="1"/>
    <col min="4382" max="4382" width="10.83203125" style="1" customWidth="1"/>
    <col min="4383" max="4383" width="11.6640625" style="1" customWidth="1"/>
    <col min="4384" max="4384" width="12.6640625" style="1" customWidth="1"/>
    <col min="4385" max="4385" width="13.33203125" style="1" customWidth="1"/>
    <col min="4386" max="4386" width="10.1640625" style="1" customWidth="1"/>
    <col min="4387" max="4387" width="11.5" style="1" customWidth="1"/>
    <col min="4388" max="4389" width="12" style="1" customWidth="1"/>
    <col min="4390" max="4390" width="9.6640625" style="1" customWidth="1"/>
    <col min="4391" max="4391" width="2.5" style="1" customWidth="1"/>
    <col min="4392" max="4626" width="9.33203125" style="1"/>
    <col min="4627" max="4627" width="2.6640625" style="1" customWidth="1"/>
    <col min="4628" max="4628" width="5" style="1" customWidth="1"/>
    <col min="4629" max="4629" width="43.1640625" style="1" customWidth="1"/>
    <col min="4630" max="4630" width="14.83203125" style="1" customWidth="1"/>
    <col min="4631" max="4631" width="9.33203125" style="1" customWidth="1"/>
    <col min="4632" max="4632" width="14.6640625" style="1" customWidth="1"/>
    <col min="4633" max="4633" width="11.33203125" style="1" customWidth="1"/>
    <col min="4634" max="4634" width="13.33203125" style="1" customWidth="1"/>
    <col min="4635" max="4635" width="9.6640625" style="1" customWidth="1"/>
    <col min="4636" max="4636" width="17.1640625" style="1" customWidth="1"/>
    <col min="4637" max="4637" width="8.83203125" style="1" customWidth="1"/>
    <col min="4638" max="4638" width="10.83203125" style="1" customWidth="1"/>
    <col min="4639" max="4639" width="11.6640625" style="1" customWidth="1"/>
    <col min="4640" max="4640" width="12.6640625" style="1" customWidth="1"/>
    <col min="4641" max="4641" width="13.33203125" style="1" customWidth="1"/>
    <col min="4642" max="4642" width="10.1640625" style="1" customWidth="1"/>
    <col min="4643" max="4643" width="11.5" style="1" customWidth="1"/>
    <col min="4644" max="4645" width="12" style="1" customWidth="1"/>
    <col min="4646" max="4646" width="9.6640625" style="1" customWidth="1"/>
    <col min="4647" max="4647" width="2.5" style="1" customWidth="1"/>
    <col min="4648" max="4882" width="9.33203125" style="1"/>
    <col min="4883" max="4883" width="2.6640625" style="1" customWidth="1"/>
    <col min="4884" max="4884" width="5" style="1" customWidth="1"/>
    <col min="4885" max="4885" width="43.1640625" style="1" customWidth="1"/>
    <col min="4886" max="4886" width="14.83203125" style="1" customWidth="1"/>
    <col min="4887" max="4887" width="9.33203125" style="1" customWidth="1"/>
    <col min="4888" max="4888" width="14.6640625" style="1" customWidth="1"/>
    <col min="4889" max="4889" width="11.33203125" style="1" customWidth="1"/>
    <col min="4890" max="4890" width="13.33203125" style="1" customWidth="1"/>
    <col min="4891" max="4891" width="9.6640625" style="1" customWidth="1"/>
    <col min="4892" max="4892" width="17.1640625" style="1" customWidth="1"/>
    <col min="4893" max="4893" width="8.83203125" style="1" customWidth="1"/>
    <col min="4894" max="4894" width="10.83203125" style="1" customWidth="1"/>
    <col min="4895" max="4895" width="11.6640625" style="1" customWidth="1"/>
    <col min="4896" max="4896" width="12.6640625" style="1" customWidth="1"/>
    <col min="4897" max="4897" width="13.33203125" style="1" customWidth="1"/>
    <col min="4898" max="4898" width="10.1640625" style="1" customWidth="1"/>
    <col min="4899" max="4899" width="11.5" style="1" customWidth="1"/>
    <col min="4900" max="4901" width="12" style="1" customWidth="1"/>
    <col min="4902" max="4902" width="9.6640625" style="1" customWidth="1"/>
    <col min="4903" max="4903" width="2.5" style="1" customWidth="1"/>
    <col min="4904" max="5138" width="9.33203125" style="1"/>
    <col min="5139" max="5139" width="2.6640625" style="1" customWidth="1"/>
    <col min="5140" max="5140" width="5" style="1" customWidth="1"/>
    <col min="5141" max="5141" width="43.1640625" style="1" customWidth="1"/>
    <col min="5142" max="5142" width="14.83203125" style="1" customWidth="1"/>
    <col min="5143" max="5143" width="9.33203125" style="1" customWidth="1"/>
    <col min="5144" max="5144" width="14.6640625" style="1" customWidth="1"/>
    <col min="5145" max="5145" width="11.33203125" style="1" customWidth="1"/>
    <col min="5146" max="5146" width="13.33203125" style="1" customWidth="1"/>
    <col min="5147" max="5147" width="9.6640625" style="1" customWidth="1"/>
    <col min="5148" max="5148" width="17.1640625" style="1" customWidth="1"/>
    <col min="5149" max="5149" width="8.83203125" style="1" customWidth="1"/>
    <col min="5150" max="5150" width="10.83203125" style="1" customWidth="1"/>
    <col min="5151" max="5151" width="11.6640625" style="1" customWidth="1"/>
    <col min="5152" max="5152" width="12.6640625" style="1" customWidth="1"/>
    <col min="5153" max="5153" width="13.33203125" style="1" customWidth="1"/>
    <col min="5154" max="5154" width="10.1640625" style="1" customWidth="1"/>
    <col min="5155" max="5155" width="11.5" style="1" customWidth="1"/>
    <col min="5156" max="5157" width="12" style="1" customWidth="1"/>
    <col min="5158" max="5158" width="9.6640625" style="1" customWidth="1"/>
    <col min="5159" max="5159" width="2.5" style="1" customWidth="1"/>
    <col min="5160" max="5394" width="9.33203125" style="1"/>
    <col min="5395" max="5395" width="2.6640625" style="1" customWidth="1"/>
    <col min="5396" max="5396" width="5" style="1" customWidth="1"/>
    <col min="5397" max="5397" width="43.1640625" style="1" customWidth="1"/>
    <col min="5398" max="5398" width="14.83203125" style="1" customWidth="1"/>
    <col min="5399" max="5399" width="9.33203125" style="1" customWidth="1"/>
    <col min="5400" max="5400" width="14.6640625" style="1" customWidth="1"/>
    <col min="5401" max="5401" width="11.33203125" style="1" customWidth="1"/>
    <col min="5402" max="5402" width="13.33203125" style="1" customWidth="1"/>
    <col min="5403" max="5403" width="9.6640625" style="1" customWidth="1"/>
    <col min="5404" max="5404" width="17.1640625" style="1" customWidth="1"/>
    <col min="5405" max="5405" width="8.83203125" style="1" customWidth="1"/>
    <col min="5406" max="5406" width="10.83203125" style="1" customWidth="1"/>
    <col min="5407" max="5407" width="11.6640625" style="1" customWidth="1"/>
    <col min="5408" max="5408" width="12.6640625" style="1" customWidth="1"/>
    <col min="5409" max="5409" width="13.33203125" style="1" customWidth="1"/>
    <col min="5410" max="5410" width="10.1640625" style="1" customWidth="1"/>
    <col min="5411" max="5411" width="11.5" style="1" customWidth="1"/>
    <col min="5412" max="5413" width="12" style="1" customWidth="1"/>
    <col min="5414" max="5414" width="9.6640625" style="1" customWidth="1"/>
    <col min="5415" max="5415" width="2.5" style="1" customWidth="1"/>
    <col min="5416" max="5650" width="9.33203125" style="1"/>
    <col min="5651" max="5651" width="2.6640625" style="1" customWidth="1"/>
    <col min="5652" max="5652" width="5" style="1" customWidth="1"/>
    <col min="5653" max="5653" width="43.1640625" style="1" customWidth="1"/>
    <col min="5654" max="5654" width="14.83203125" style="1" customWidth="1"/>
    <col min="5655" max="5655" width="9.33203125" style="1" customWidth="1"/>
    <col min="5656" max="5656" width="14.6640625" style="1" customWidth="1"/>
    <col min="5657" max="5657" width="11.33203125" style="1" customWidth="1"/>
    <col min="5658" max="5658" width="13.33203125" style="1" customWidth="1"/>
    <col min="5659" max="5659" width="9.6640625" style="1" customWidth="1"/>
    <col min="5660" max="5660" width="17.1640625" style="1" customWidth="1"/>
    <col min="5661" max="5661" width="8.83203125" style="1" customWidth="1"/>
    <col min="5662" max="5662" width="10.83203125" style="1" customWidth="1"/>
    <col min="5663" max="5663" width="11.6640625" style="1" customWidth="1"/>
    <col min="5664" max="5664" width="12.6640625" style="1" customWidth="1"/>
    <col min="5665" max="5665" width="13.33203125" style="1" customWidth="1"/>
    <col min="5666" max="5666" width="10.1640625" style="1" customWidth="1"/>
    <col min="5667" max="5667" width="11.5" style="1" customWidth="1"/>
    <col min="5668" max="5669" width="12" style="1" customWidth="1"/>
    <col min="5670" max="5670" width="9.6640625" style="1" customWidth="1"/>
    <col min="5671" max="5671" width="2.5" style="1" customWidth="1"/>
    <col min="5672" max="5906" width="9.33203125" style="1"/>
    <col min="5907" max="5907" width="2.6640625" style="1" customWidth="1"/>
    <col min="5908" max="5908" width="5" style="1" customWidth="1"/>
    <col min="5909" max="5909" width="43.1640625" style="1" customWidth="1"/>
    <col min="5910" max="5910" width="14.83203125" style="1" customWidth="1"/>
    <col min="5911" max="5911" width="9.33203125" style="1" customWidth="1"/>
    <col min="5912" max="5912" width="14.6640625" style="1" customWidth="1"/>
    <col min="5913" max="5913" width="11.33203125" style="1" customWidth="1"/>
    <col min="5914" max="5914" width="13.33203125" style="1" customWidth="1"/>
    <col min="5915" max="5915" width="9.6640625" style="1" customWidth="1"/>
    <col min="5916" max="5916" width="17.1640625" style="1" customWidth="1"/>
    <col min="5917" max="5917" width="8.83203125" style="1" customWidth="1"/>
    <col min="5918" max="5918" width="10.83203125" style="1" customWidth="1"/>
    <col min="5919" max="5919" width="11.6640625" style="1" customWidth="1"/>
    <col min="5920" max="5920" width="12.6640625" style="1" customWidth="1"/>
    <col min="5921" max="5921" width="13.33203125" style="1" customWidth="1"/>
    <col min="5922" max="5922" width="10.1640625" style="1" customWidth="1"/>
    <col min="5923" max="5923" width="11.5" style="1" customWidth="1"/>
    <col min="5924" max="5925" width="12" style="1" customWidth="1"/>
    <col min="5926" max="5926" width="9.6640625" style="1" customWidth="1"/>
    <col min="5927" max="5927" width="2.5" style="1" customWidth="1"/>
    <col min="5928" max="6162" width="9.33203125" style="1"/>
    <col min="6163" max="6163" width="2.6640625" style="1" customWidth="1"/>
    <col min="6164" max="6164" width="5" style="1" customWidth="1"/>
    <col min="6165" max="6165" width="43.1640625" style="1" customWidth="1"/>
    <col min="6166" max="6166" width="14.83203125" style="1" customWidth="1"/>
    <col min="6167" max="6167" width="9.33203125" style="1" customWidth="1"/>
    <col min="6168" max="6168" width="14.6640625" style="1" customWidth="1"/>
    <col min="6169" max="6169" width="11.33203125" style="1" customWidth="1"/>
    <col min="6170" max="6170" width="13.33203125" style="1" customWidth="1"/>
    <col min="6171" max="6171" width="9.6640625" style="1" customWidth="1"/>
    <col min="6172" max="6172" width="17.1640625" style="1" customWidth="1"/>
    <col min="6173" max="6173" width="8.83203125" style="1" customWidth="1"/>
    <col min="6174" max="6174" width="10.83203125" style="1" customWidth="1"/>
    <col min="6175" max="6175" width="11.6640625" style="1" customWidth="1"/>
    <col min="6176" max="6176" width="12.6640625" style="1" customWidth="1"/>
    <col min="6177" max="6177" width="13.33203125" style="1" customWidth="1"/>
    <col min="6178" max="6178" width="10.1640625" style="1" customWidth="1"/>
    <col min="6179" max="6179" width="11.5" style="1" customWidth="1"/>
    <col min="6180" max="6181" width="12" style="1" customWidth="1"/>
    <col min="6182" max="6182" width="9.6640625" style="1" customWidth="1"/>
    <col min="6183" max="6183" width="2.5" style="1" customWidth="1"/>
    <col min="6184" max="6418" width="9.33203125" style="1"/>
    <col min="6419" max="6419" width="2.6640625" style="1" customWidth="1"/>
    <col min="6420" max="6420" width="5" style="1" customWidth="1"/>
    <col min="6421" max="6421" width="43.1640625" style="1" customWidth="1"/>
    <col min="6422" max="6422" width="14.83203125" style="1" customWidth="1"/>
    <col min="6423" max="6423" width="9.33203125" style="1" customWidth="1"/>
    <col min="6424" max="6424" width="14.6640625" style="1" customWidth="1"/>
    <col min="6425" max="6425" width="11.33203125" style="1" customWidth="1"/>
    <col min="6426" max="6426" width="13.33203125" style="1" customWidth="1"/>
    <col min="6427" max="6427" width="9.6640625" style="1" customWidth="1"/>
    <col min="6428" max="6428" width="17.1640625" style="1" customWidth="1"/>
    <col min="6429" max="6429" width="8.83203125" style="1" customWidth="1"/>
    <col min="6430" max="6430" width="10.83203125" style="1" customWidth="1"/>
    <col min="6431" max="6431" width="11.6640625" style="1" customWidth="1"/>
    <col min="6432" max="6432" width="12.6640625" style="1" customWidth="1"/>
    <col min="6433" max="6433" width="13.33203125" style="1" customWidth="1"/>
    <col min="6434" max="6434" width="10.1640625" style="1" customWidth="1"/>
    <col min="6435" max="6435" width="11.5" style="1" customWidth="1"/>
    <col min="6436" max="6437" width="12" style="1" customWidth="1"/>
    <col min="6438" max="6438" width="9.6640625" style="1" customWidth="1"/>
    <col min="6439" max="6439" width="2.5" style="1" customWidth="1"/>
    <col min="6440" max="6674" width="9.33203125" style="1"/>
    <col min="6675" max="6675" width="2.6640625" style="1" customWidth="1"/>
    <col min="6676" max="6676" width="5" style="1" customWidth="1"/>
    <col min="6677" max="6677" width="43.1640625" style="1" customWidth="1"/>
    <col min="6678" max="6678" width="14.83203125" style="1" customWidth="1"/>
    <col min="6679" max="6679" width="9.33203125" style="1" customWidth="1"/>
    <col min="6680" max="6680" width="14.6640625" style="1" customWidth="1"/>
    <col min="6681" max="6681" width="11.33203125" style="1" customWidth="1"/>
    <col min="6682" max="6682" width="13.33203125" style="1" customWidth="1"/>
    <col min="6683" max="6683" width="9.6640625" style="1" customWidth="1"/>
    <col min="6684" max="6684" width="17.1640625" style="1" customWidth="1"/>
    <col min="6685" max="6685" width="8.83203125" style="1" customWidth="1"/>
    <col min="6686" max="6686" width="10.83203125" style="1" customWidth="1"/>
    <col min="6687" max="6687" width="11.6640625" style="1" customWidth="1"/>
    <col min="6688" max="6688" width="12.6640625" style="1" customWidth="1"/>
    <col min="6689" max="6689" width="13.33203125" style="1" customWidth="1"/>
    <col min="6690" max="6690" width="10.1640625" style="1" customWidth="1"/>
    <col min="6691" max="6691" width="11.5" style="1" customWidth="1"/>
    <col min="6692" max="6693" width="12" style="1" customWidth="1"/>
    <col min="6694" max="6694" width="9.6640625" style="1" customWidth="1"/>
    <col min="6695" max="6695" width="2.5" style="1" customWidth="1"/>
    <col min="6696" max="6930" width="9.33203125" style="1"/>
    <col min="6931" max="6931" width="2.6640625" style="1" customWidth="1"/>
    <col min="6932" max="6932" width="5" style="1" customWidth="1"/>
    <col min="6933" max="6933" width="43.1640625" style="1" customWidth="1"/>
    <col min="6934" max="6934" width="14.83203125" style="1" customWidth="1"/>
    <col min="6935" max="6935" width="9.33203125" style="1" customWidth="1"/>
    <col min="6936" max="6936" width="14.6640625" style="1" customWidth="1"/>
    <col min="6937" max="6937" width="11.33203125" style="1" customWidth="1"/>
    <col min="6938" max="6938" width="13.33203125" style="1" customWidth="1"/>
    <col min="6939" max="6939" width="9.6640625" style="1" customWidth="1"/>
    <col min="6940" max="6940" width="17.1640625" style="1" customWidth="1"/>
    <col min="6941" max="6941" width="8.83203125" style="1" customWidth="1"/>
    <col min="6942" max="6942" width="10.83203125" style="1" customWidth="1"/>
    <col min="6943" max="6943" width="11.6640625" style="1" customWidth="1"/>
    <col min="6944" max="6944" width="12.6640625" style="1" customWidth="1"/>
    <col min="6945" max="6945" width="13.33203125" style="1" customWidth="1"/>
    <col min="6946" max="6946" width="10.1640625" style="1" customWidth="1"/>
    <col min="6947" max="6947" width="11.5" style="1" customWidth="1"/>
    <col min="6948" max="6949" width="12" style="1" customWidth="1"/>
    <col min="6950" max="6950" width="9.6640625" style="1" customWidth="1"/>
    <col min="6951" max="6951" width="2.5" style="1" customWidth="1"/>
    <col min="6952" max="7186" width="9.33203125" style="1"/>
    <col min="7187" max="7187" width="2.6640625" style="1" customWidth="1"/>
    <col min="7188" max="7188" width="5" style="1" customWidth="1"/>
    <col min="7189" max="7189" width="43.1640625" style="1" customWidth="1"/>
    <col min="7190" max="7190" width="14.83203125" style="1" customWidth="1"/>
    <col min="7191" max="7191" width="9.33203125" style="1" customWidth="1"/>
    <col min="7192" max="7192" width="14.6640625" style="1" customWidth="1"/>
    <col min="7193" max="7193" width="11.33203125" style="1" customWidth="1"/>
    <col min="7194" max="7194" width="13.33203125" style="1" customWidth="1"/>
    <col min="7195" max="7195" width="9.6640625" style="1" customWidth="1"/>
    <col min="7196" max="7196" width="17.1640625" style="1" customWidth="1"/>
    <col min="7197" max="7197" width="8.83203125" style="1" customWidth="1"/>
    <col min="7198" max="7198" width="10.83203125" style="1" customWidth="1"/>
    <col min="7199" max="7199" width="11.6640625" style="1" customWidth="1"/>
    <col min="7200" max="7200" width="12.6640625" style="1" customWidth="1"/>
    <col min="7201" max="7201" width="13.33203125" style="1" customWidth="1"/>
    <col min="7202" max="7202" width="10.1640625" style="1" customWidth="1"/>
    <col min="7203" max="7203" width="11.5" style="1" customWidth="1"/>
    <col min="7204" max="7205" width="12" style="1" customWidth="1"/>
    <col min="7206" max="7206" width="9.6640625" style="1" customWidth="1"/>
    <col min="7207" max="7207" width="2.5" style="1" customWidth="1"/>
    <col min="7208" max="7442" width="9.33203125" style="1"/>
    <col min="7443" max="7443" width="2.6640625" style="1" customWidth="1"/>
    <col min="7444" max="7444" width="5" style="1" customWidth="1"/>
    <col min="7445" max="7445" width="43.1640625" style="1" customWidth="1"/>
    <col min="7446" max="7446" width="14.83203125" style="1" customWidth="1"/>
    <col min="7447" max="7447" width="9.33203125" style="1" customWidth="1"/>
    <col min="7448" max="7448" width="14.6640625" style="1" customWidth="1"/>
    <col min="7449" max="7449" width="11.33203125" style="1" customWidth="1"/>
    <col min="7450" max="7450" width="13.33203125" style="1" customWidth="1"/>
    <col min="7451" max="7451" width="9.6640625" style="1" customWidth="1"/>
    <col min="7452" max="7452" width="17.1640625" style="1" customWidth="1"/>
    <col min="7453" max="7453" width="8.83203125" style="1" customWidth="1"/>
    <col min="7454" max="7454" width="10.83203125" style="1" customWidth="1"/>
    <col min="7455" max="7455" width="11.6640625" style="1" customWidth="1"/>
    <col min="7456" max="7456" width="12.6640625" style="1" customWidth="1"/>
    <col min="7457" max="7457" width="13.33203125" style="1" customWidth="1"/>
    <col min="7458" max="7458" width="10.1640625" style="1" customWidth="1"/>
    <col min="7459" max="7459" width="11.5" style="1" customWidth="1"/>
    <col min="7460" max="7461" width="12" style="1" customWidth="1"/>
    <col min="7462" max="7462" width="9.6640625" style="1" customWidth="1"/>
    <col min="7463" max="7463" width="2.5" style="1" customWidth="1"/>
    <col min="7464" max="7698" width="9.33203125" style="1"/>
    <col min="7699" max="7699" width="2.6640625" style="1" customWidth="1"/>
    <col min="7700" max="7700" width="5" style="1" customWidth="1"/>
    <col min="7701" max="7701" width="43.1640625" style="1" customWidth="1"/>
    <col min="7702" max="7702" width="14.83203125" style="1" customWidth="1"/>
    <col min="7703" max="7703" width="9.33203125" style="1" customWidth="1"/>
    <col min="7704" max="7704" width="14.6640625" style="1" customWidth="1"/>
    <col min="7705" max="7705" width="11.33203125" style="1" customWidth="1"/>
    <col min="7706" max="7706" width="13.33203125" style="1" customWidth="1"/>
    <col min="7707" max="7707" width="9.6640625" style="1" customWidth="1"/>
    <col min="7708" max="7708" width="17.1640625" style="1" customWidth="1"/>
    <col min="7709" max="7709" width="8.83203125" style="1" customWidth="1"/>
    <col min="7710" max="7710" width="10.83203125" style="1" customWidth="1"/>
    <col min="7711" max="7711" width="11.6640625" style="1" customWidth="1"/>
    <col min="7712" max="7712" width="12.6640625" style="1" customWidth="1"/>
    <col min="7713" max="7713" width="13.33203125" style="1" customWidth="1"/>
    <col min="7714" max="7714" width="10.1640625" style="1" customWidth="1"/>
    <col min="7715" max="7715" width="11.5" style="1" customWidth="1"/>
    <col min="7716" max="7717" width="12" style="1" customWidth="1"/>
    <col min="7718" max="7718" width="9.6640625" style="1" customWidth="1"/>
    <col min="7719" max="7719" width="2.5" style="1" customWidth="1"/>
    <col min="7720" max="7954" width="9.33203125" style="1"/>
    <col min="7955" max="7955" width="2.6640625" style="1" customWidth="1"/>
    <col min="7956" max="7956" width="5" style="1" customWidth="1"/>
    <col min="7957" max="7957" width="43.1640625" style="1" customWidth="1"/>
    <col min="7958" max="7958" width="14.83203125" style="1" customWidth="1"/>
    <col min="7959" max="7959" width="9.33203125" style="1" customWidth="1"/>
    <col min="7960" max="7960" width="14.6640625" style="1" customWidth="1"/>
    <col min="7961" max="7961" width="11.33203125" style="1" customWidth="1"/>
    <col min="7962" max="7962" width="13.33203125" style="1" customWidth="1"/>
    <col min="7963" max="7963" width="9.6640625" style="1" customWidth="1"/>
    <col min="7964" max="7964" width="17.1640625" style="1" customWidth="1"/>
    <col min="7965" max="7965" width="8.83203125" style="1" customWidth="1"/>
    <col min="7966" max="7966" width="10.83203125" style="1" customWidth="1"/>
    <col min="7967" max="7967" width="11.6640625" style="1" customWidth="1"/>
    <col min="7968" max="7968" width="12.6640625" style="1" customWidth="1"/>
    <col min="7969" max="7969" width="13.33203125" style="1" customWidth="1"/>
    <col min="7970" max="7970" width="10.1640625" style="1" customWidth="1"/>
    <col min="7971" max="7971" width="11.5" style="1" customWidth="1"/>
    <col min="7972" max="7973" width="12" style="1" customWidth="1"/>
    <col min="7974" max="7974" width="9.6640625" style="1" customWidth="1"/>
    <col min="7975" max="7975" width="2.5" style="1" customWidth="1"/>
    <col min="7976" max="8210" width="9.33203125" style="1"/>
    <col min="8211" max="8211" width="2.6640625" style="1" customWidth="1"/>
    <col min="8212" max="8212" width="5" style="1" customWidth="1"/>
    <col min="8213" max="8213" width="43.1640625" style="1" customWidth="1"/>
    <col min="8214" max="8214" width="14.83203125" style="1" customWidth="1"/>
    <col min="8215" max="8215" width="9.33203125" style="1" customWidth="1"/>
    <col min="8216" max="8216" width="14.6640625" style="1" customWidth="1"/>
    <col min="8217" max="8217" width="11.33203125" style="1" customWidth="1"/>
    <col min="8218" max="8218" width="13.33203125" style="1" customWidth="1"/>
    <col min="8219" max="8219" width="9.6640625" style="1" customWidth="1"/>
    <col min="8220" max="8220" width="17.1640625" style="1" customWidth="1"/>
    <col min="8221" max="8221" width="8.83203125" style="1" customWidth="1"/>
    <col min="8222" max="8222" width="10.83203125" style="1" customWidth="1"/>
    <col min="8223" max="8223" width="11.6640625" style="1" customWidth="1"/>
    <col min="8224" max="8224" width="12.6640625" style="1" customWidth="1"/>
    <col min="8225" max="8225" width="13.33203125" style="1" customWidth="1"/>
    <col min="8226" max="8226" width="10.1640625" style="1" customWidth="1"/>
    <col min="8227" max="8227" width="11.5" style="1" customWidth="1"/>
    <col min="8228" max="8229" width="12" style="1" customWidth="1"/>
    <col min="8230" max="8230" width="9.6640625" style="1" customWidth="1"/>
    <col min="8231" max="8231" width="2.5" style="1" customWidth="1"/>
    <col min="8232" max="8466" width="9.33203125" style="1"/>
    <col min="8467" max="8467" width="2.6640625" style="1" customWidth="1"/>
    <col min="8468" max="8468" width="5" style="1" customWidth="1"/>
    <col min="8469" max="8469" width="43.1640625" style="1" customWidth="1"/>
    <col min="8470" max="8470" width="14.83203125" style="1" customWidth="1"/>
    <col min="8471" max="8471" width="9.33203125" style="1" customWidth="1"/>
    <col min="8472" max="8472" width="14.6640625" style="1" customWidth="1"/>
    <col min="8473" max="8473" width="11.33203125" style="1" customWidth="1"/>
    <col min="8474" max="8474" width="13.33203125" style="1" customWidth="1"/>
    <col min="8475" max="8475" width="9.6640625" style="1" customWidth="1"/>
    <col min="8476" max="8476" width="17.1640625" style="1" customWidth="1"/>
    <col min="8477" max="8477" width="8.83203125" style="1" customWidth="1"/>
    <col min="8478" max="8478" width="10.83203125" style="1" customWidth="1"/>
    <col min="8479" max="8479" width="11.6640625" style="1" customWidth="1"/>
    <col min="8480" max="8480" width="12.6640625" style="1" customWidth="1"/>
    <col min="8481" max="8481" width="13.33203125" style="1" customWidth="1"/>
    <col min="8482" max="8482" width="10.1640625" style="1" customWidth="1"/>
    <col min="8483" max="8483" width="11.5" style="1" customWidth="1"/>
    <col min="8484" max="8485" width="12" style="1" customWidth="1"/>
    <col min="8486" max="8486" width="9.6640625" style="1" customWidth="1"/>
    <col min="8487" max="8487" width="2.5" style="1" customWidth="1"/>
    <col min="8488" max="8722" width="9.33203125" style="1"/>
    <col min="8723" max="8723" width="2.6640625" style="1" customWidth="1"/>
    <col min="8724" max="8724" width="5" style="1" customWidth="1"/>
    <col min="8725" max="8725" width="43.1640625" style="1" customWidth="1"/>
    <col min="8726" max="8726" width="14.83203125" style="1" customWidth="1"/>
    <col min="8727" max="8727" width="9.33203125" style="1" customWidth="1"/>
    <col min="8728" max="8728" width="14.6640625" style="1" customWidth="1"/>
    <col min="8729" max="8729" width="11.33203125" style="1" customWidth="1"/>
    <col min="8730" max="8730" width="13.33203125" style="1" customWidth="1"/>
    <col min="8731" max="8731" width="9.6640625" style="1" customWidth="1"/>
    <col min="8732" max="8732" width="17.1640625" style="1" customWidth="1"/>
    <col min="8733" max="8733" width="8.83203125" style="1" customWidth="1"/>
    <col min="8734" max="8734" width="10.83203125" style="1" customWidth="1"/>
    <col min="8735" max="8735" width="11.6640625" style="1" customWidth="1"/>
    <col min="8736" max="8736" width="12.6640625" style="1" customWidth="1"/>
    <col min="8737" max="8737" width="13.33203125" style="1" customWidth="1"/>
    <col min="8738" max="8738" width="10.1640625" style="1" customWidth="1"/>
    <col min="8739" max="8739" width="11.5" style="1" customWidth="1"/>
    <col min="8740" max="8741" width="12" style="1" customWidth="1"/>
    <col min="8742" max="8742" width="9.6640625" style="1" customWidth="1"/>
    <col min="8743" max="8743" width="2.5" style="1" customWidth="1"/>
    <col min="8744" max="8978" width="9.33203125" style="1"/>
    <col min="8979" max="8979" width="2.6640625" style="1" customWidth="1"/>
    <col min="8980" max="8980" width="5" style="1" customWidth="1"/>
    <col min="8981" max="8981" width="43.1640625" style="1" customWidth="1"/>
    <col min="8982" max="8982" width="14.83203125" style="1" customWidth="1"/>
    <col min="8983" max="8983" width="9.33203125" style="1" customWidth="1"/>
    <col min="8984" max="8984" width="14.6640625" style="1" customWidth="1"/>
    <col min="8985" max="8985" width="11.33203125" style="1" customWidth="1"/>
    <col min="8986" max="8986" width="13.33203125" style="1" customWidth="1"/>
    <col min="8987" max="8987" width="9.6640625" style="1" customWidth="1"/>
    <col min="8988" max="8988" width="17.1640625" style="1" customWidth="1"/>
    <col min="8989" max="8989" width="8.83203125" style="1" customWidth="1"/>
    <col min="8990" max="8990" width="10.83203125" style="1" customWidth="1"/>
    <col min="8991" max="8991" width="11.6640625" style="1" customWidth="1"/>
    <col min="8992" max="8992" width="12.6640625" style="1" customWidth="1"/>
    <col min="8993" max="8993" width="13.33203125" style="1" customWidth="1"/>
    <col min="8994" max="8994" width="10.1640625" style="1" customWidth="1"/>
    <col min="8995" max="8995" width="11.5" style="1" customWidth="1"/>
    <col min="8996" max="8997" width="12" style="1" customWidth="1"/>
    <col min="8998" max="8998" width="9.6640625" style="1" customWidth="1"/>
    <col min="8999" max="8999" width="2.5" style="1" customWidth="1"/>
    <col min="9000" max="9234" width="9.33203125" style="1"/>
    <col min="9235" max="9235" width="2.6640625" style="1" customWidth="1"/>
    <col min="9236" max="9236" width="5" style="1" customWidth="1"/>
    <col min="9237" max="9237" width="43.1640625" style="1" customWidth="1"/>
    <col min="9238" max="9238" width="14.83203125" style="1" customWidth="1"/>
    <col min="9239" max="9239" width="9.33203125" style="1" customWidth="1"/>
    <col min="9240" max="9240" width="14.6640625" style="1" customWidth="1"/>
    <col min="9241" max="9241" width="11.33203125" style="1" customWidth="1"/>
    <col min="9242" max="9242" width="13.33203125" style="1" customWidth="1"/>
    <col min="9243" max="9243" width="9.6640625" style="1" customWidth="1"/>
    <col min="9244" max="9244" width="17.1640625" style="1" customWidth="1"/>
    <col min="9245" max="9245" width="8.83203125" style="1" customWidth="1"/>
    <col min="9246" max="9246" width="10.83203125" style="1" customWidth="1"/>
    <col min="9247" max="9247" width="11.6640625" style="1" customWidth="1"/>
    <col min="9248" max="9248" width="12.6640625" style="1" customWidth="1"/>
    <col min="9249" max="9249" width="13.33203125" style="1" customWidth="1"/>
    <col min="9250" max="9250" width="10.1640625" style="1" customWidth="1"/>
    <col min="9251" max="9251" width="11.5" style="1" customWidth="1"/>
    <col min="9252" max="9253" width="12" style="1" customWidth="1"/>
    <col min="9254" max="9254" width="9.6640625" style="1" customWidth="1"/>
    <col min="9255" max="9255" width="2.5" style="1" customWidth="1"/>
    <col min="9256" max="9490" width="9.33203125" style="1"/>
    <col min="9491" max="9491" width="2.6640625" style="1" customWidth="1"/>
    <col min="9492" max="9492" width="5" style="1" customWidth="1"/>
    <col min="9493" max="9493" width="43.1640625" style="1" customWidth="1"/>
    <col min="9494" max="9494" width="14.83203125" style="1" customWidth="1"/>
    <col min="9495" max="9495" width="9.33203125" style="1" customWidth="1"/>
    <col min="9496" max="9496" width="14.6640625" style="1" customWidth="1"/>
    <col min="9497" max="9497" width="11.33203125" style="1" customWidth="1"/>
    <col min="9498" max="9498" width="13.33203125" style="1" customWidth="1"/>
    <col min="9499" max="9499" width="9.6640625" style="1" customWidth="1"/>
    <col min="9500" max="9500" width="17.1640625" style="1" customWidth="1"/>
    <col min="9501" max="9501" width="8.83203125" style="1" customWidth="1"/>
    <col min="9502" max="9502" width="10.83203125" style="1" customWidth="1"/>
    <col min="9503" max="9503" width="11.6640625" style="1" customWidth="1"/>
    <col min="9504" max="9504" width="12.6640625" style="1" customWidth="1"/>
    <col min="9505" max="9505" width="13.33203125" style="1" customWidth="1"/>
    <col min="9506" max="9506" width="10.1640625" style="1" customWidth="1"/>
    <col min="9507" max="9507" width="11.5" style="1" customWidth="1"/>
    <col min="9508" max="9509" width="12" style="1" customWidth="1"/>
    <col min="9510" max="9510" width="9.6640625" style="1" customWidth="1"/>
    <col min="9511" max="9511" width="2.5" style="1" customWidth="1"/>
    <col min="9512" max="9746" width="9.33203125" style="1"/>
    <col min="9747" max="9747" width="2.6640625" style="1" customWidth="1"/>
    <col min="9748" max="9748" width="5" style="1" customWidth="1"/>
    <col min="9749" max="9749" width="43.1640625" style="1" customWidth="1"/>
    <col min="9750" max="9750" width="14.83203125" style="1" customWidth="1"/>
    <col min="9751" max="9751" width="9.33203125" style="1" customWidth="1"/>
    <col min="9752" max="9752" width="14.6640625" style="1" customWidth="1"/>
    <col min="9753" max="9753" width="11.33203125" style="1" customWidth="1"/>
    <col min="9754" max="9754" width="13.33203125" style="1" customWidth="1"/>
    <col min="9755" max="9755" width="9.6640625" style="1" customWidth="1"/>
    <col min="9756" max="9756" width="17.1640625" style="1" customWidth="1"/>
    <col min="9757" max="9757" width="8.83203125" style="1" customWidth="1"/>
    <col min="9758" max="9758" width="10.83203125" style="1" customWidth="1"/>
    <col min="9759" max="9759" width="11.6640625" style="1" customWidth="1"/>
    <col min="9760" max="9760" width="12.6640625" style="1" customWidth="1"/>
    <col min="9761" max="9761" width="13.33203125" style="1" customWidth="1"/>
    <col min="9762" max="9762" width="10.1640625" style="1" customWidth="1"/>
    <col min="9763" max="9763" width="11.5" style="1" customWidth="1"/>
    <col min="9764" max="9765" width="12" style="1" customWidth="1"/>
    <col min="9766" max="9766" width="9.6640625" style="1" customWidth="1"/>
    <col min="9767" max="9767" width="2.5" style="1" customWidth="1"/>
    <col min="9768" max="10002" width="9.33203125" style="1"/>
    <col min="10003" max="10003" width="2.6640625" style="1" customWidth="1"/>
    <col min="10004" max="10004" width="5" style="1" customWidth="1"/>
    <col min="10005" max="10005" width="43.1640625" style="1" customWidth="1"/>
    <col min="10006" max="10006" width="14.83203125" style="1" customWidth="1"/>
    <col min="10007" max="10007" width="9.33203125" style="1" customWidth="1"/>
    <col min="10008" max="10008" width="14.6640625" style="1" customWidth="1"/>
    <col min="10009" max="10009" width="11.33203125" style="1" customWidth="1"/>
    <col min="10010" max="10010" width="13.33203125" style="1" customWidth="1"/>
    <col min="10011" max="10011" width="9.6640625" style="1" customWidth="1"/>
    <col min="10012" max="10012" width="17.1640625" style="1" customWidth="1"/>
    <col min="10013" max="10013" width="8.83203125" style="1" customWidth="1"/>
    <col min="10014" max="10014" width="10.83203125" style="1" customWidth="1"/>
    <col min="10015" max="10015" width="11.6640625" style="1" customWidth="1"/>
    <col min="10016" max="10016" width="12.6640625" style="1" customWidth="1"/>
    <col min="10017" max="10017" width="13.33203125" style="1" customWidth="1"/>
    <col min="10018" max="10018" width="10.1640625" style="1" customWidth="1"/>
    <col min="10019" max="10019" width="11.5" style="1" customWidth="1"/>
    <col min="10020" max="10021" width="12" style="1" customWidth="1"/>
    <col min="10022" max="10022" width="9.6640625" style="1" customWidth="1"/>
    <col min="10023" max="10023" width="2.5" style="1" customWidth="1"/>
    <col min="10024" max="10258" width="9.33203125" style="1"/>
    <col min="10259" max="10259" width="2.6640625" style="1" customWidth="1"/>
    <col min="10260" max="10260" width="5" style="1" customWidth="1"/>
    <col min="10261" max="10261" width="43.1640625" style="1" customWidth="1"/>
    <col min="10262" max="10262" width="14.83203125" style="1" customWidth="1"/>
    <col min="10263" max="10263" width="9.33203125" style="1" customWidth="1"/>
    <col min="10264" max="10264" width="14.6640625" style="1" customWidth="1"/>
    <col min="10265" max="10265" width="11.33203125" style="1" customWidth="1"/>
    <col min="10266" max="10266" width="13.33203125" style="1" customWidth="1"/>
    <col min="10267" max="10267" width="9.6640625" style="1" customWidth="1"/>
    <col min="10268" max="10268" width="17.1640625" style="1" customWidth="1"/>
    <col min="10269" max="10269" width="8.83203125" style="1" customWidth="1"/>
    <col min="10270" max="10270" width="10.83203125" style="1" customWidth="1"/>
    <col min="10271" max="10271" width="11.6640625" style="1" customWidth="1"/>
    <col min="10272" max="10272" width="12.6640625" style="1" customWidth="1"/>
    <col min="10273" max="10273" width="13.33203125" style="1" customWidth="1"/>
    <col min="10274" max="10274" width="10.1640625" style="1" customWidth="1"/>
    <col min="10275" max="10275" width="11.5" style="1" customWidth="1"/>
    <col min="10276" max="10277" width="12" style="1" customWidth="1"/>
    <col min="10278" max="10278" width="9.6640625" style="1" customWidth="1"/>
    <col min="10279" max="10279" width="2.5" style="1" customWidth="1"/>
    <col min="10280" max="10514" width="9.33203125" style="1"/>
    <col min="10515" max="10515" width="2.6640625" style="1" customWidth="1"/>
    <col min="10516" max="10516" width="5" style="1" customWidth="1"/>
    <col min="10517" max="10517" width="43.1640625" style="1" customWidth="1"/>
    <col min="10518" max="10518" width="14.83203125" style="1" customWidth="1"/>
    <col min="10519" max="10519" width="9.33203125" style="1" customWidth="1"/>
    <col min="10520" max="10520" width="14.6640625" style="1" customWidth="1"/>
    <col min="10521" max="10521" width="11.33203125" style="1" customWidth="1"/>
    <col min="10522" max="10522" width="13.33203125" style="1" customWidth="1"/>
    <col min="10523" max="10523" width="9.6640625" style="1" customWidth="1"/>
    <col min="10524" max="10524" width="17.1640625" style="1" customWidth="1"/>
    <col min="10525" max="10525" width="8.83203125" style="1" customWidth="1"/>
    <col min="10526" max="10526" width="10.83203125" style="1" customWidth="1"/>
    <col min="10527" max="10527" width="11.6640625" style="1" customWidth="1"/>
    <col min="10528" max="10528" width="12.6640625" style="1" customWidth="1"/>
    <col min="10529" max="10529" width="13.33203125" style="1" customWidth="1"/>
    <col min="10530" max="10530" width="10.1640625" style="1" customWidth="1"/>
    <col min="10531" max="10531" width="11.5" style="1" customWidth="1"/>
    <col min="10532" max="10533" width="12" style="1" customWidth="1"/>
    <col min="10534" max="10534" width="9.6640625" style="1" customWidth="1"/>
    <col min="10535" max="10535" width="2.5" style="1" customWidth="1"/>
    <col min="10536" max="10770" width="9.33203125" style="1"/>
    <col min="10771" max="10771" width="2.6640625" style="1" customWidth="1"/>
    <col min="10772" max="10772" width="5" style="1" customWidth="1"/>
    <col min="10773" max="10773" width="43.1640625" style="1" customWidth="1"/>
    <col min="10774" max="10774" width="14.83203125" style="1" customWidth="1"/>
    <col min="10775" max="10775" width="9.33203125" style="1" customWidth="1"/>
    <col min="10776" max="10776" width="14.6640625" style="1" customWidth="1"/>
    <col min="10777" max="10777" width="11.33203125" style="1" customWidth="1"/>
    <col min="10778" max="10778" width="13.33203125" style="1" customWidth="1"/>
    <col min="10779" max="10779" width="9.6640625" style="1" customWidth="1"/>
    <col min="10780" max="10780" width="17.1640625" style="1" customWidth="1"/>
    <col min="10781" max="10781" width="8.83203125" style="1" customWidth="1"/>
    <col min="10782" max="10782" width="10.83203125" style="1" customWidth="1"/>
    <col min="10783" max="10783" width="11.6640625" style="1" customWidth="1"/>
    <col min="10784" max="10784" width="12.6640625" style="1" customWidth="1"/>
    <col min="10785" max="10785" width="13.33203125" style="1" customWidth="1"/>
    <col min="10786" max="10786" width="10.1640625" style="1" customWidth="1"/>
    <col min="10787" max="10787" width="11.5" style="1" customWidth="1"/>
    <col min="10788" max="10789" width="12" style="1" customWidth="1"/>
    <col min="10790" max="10790" width="9.6640625" style="1" customWidth="1"/>
    <col min="10791" max="10791" width="2.5" style="1" customWidth="1"/>
    <col min="10792" max="11026" width="9.33203125" style="1"/>
    <col min="11027" max="11027" width="2.6640625" style="1" customWidth="1"/>
    <col min="11028" max="11028" width="5" style="1" customWidth="1"/>
    <col min="11029" max="11029" width="43.1640625" style="1" customWidth="1"/>
    <col min="11030" max="11030" width="14.83203125" style="1" customWidth="1"/>
    <col min="11031" max="11031" width="9.33203125" style="1" customWidth="1"/>
    <col min="11032" max="11032" width="14.6640625" style="1" customWidth="1"/>
    <col min="11033" max="11033" width="11.33203125" style="1" customWidth="1"/>
    <col min="11034" max="11034" width="13.33203125" style="1" customWidth="1"/>
    <col min="11035" max="11035" width="9.6640625" style="1" customWidth="1"/>
    <col min="11036" max="11036" width="17.1640625" style="1" customWidth="1"/>
    <col min="11037" max="11037" width="8.83203125" style="1" customWidth="1"/>
    <col min="11038" max="11038" width="10.83203125" style="1" customWidth="1"/>
    <col min="11039" max="11039" width="11.6640625" style="1" customWidth="1"/>
    <col min="11040" max="11040" width="12.6640625" style="1" customWidth="1"/>
    <col min="11041" max="11041" width="13.33203125" style="1" customWidth="1"/>
    <col min="11042" max="11042" width="10.1640625" style="1" customWidth="1"/>
    <col min="11043" max="11043" width="11.5" style="1" customWidth="1"/>
    <col min="11044" max="11045" width="12" style="1" customWidth="1"/>
    <col min="11046" max="11046" width="9.6640625" style="1" customWidth="1"/>
    <col min="11047" max="11047" width="2.5" style="1" customWidth="1"/>
    <col min="11048" max="11282" width="9.33203125" style="1"/>
    <col min="11283" max="11283" width="2.6640625" style="1" customWidth="1"/>
    <col min="11284" max="11284" width="5" style="1" customWidth="1"/>
    <col min="11285" max="11285" width="43.1640625" style="1" customWidth="1"/>
    <col min="11286" max="11286" width="14.83203125" style="1" customWidth="1"/>
    <col min="11287" max="11287" width="9.33203125" style="1" customWidth="1"/>
    <col min="11288" max="11288" width="14.6640625" style="1" customWidth="1"/>
    <col min="11289" max="11289" width="11.33203125" style="1" customWidth="1"/>
    <col min="11290" max="11290" width="13.33203125" style="1" customWidth="1"/>
    <col min="11291" max="11291" width="9.6640625" style="1" customWidth="1"/>
    <col min="11292" max="11292" width="17.1640625" style="1" customWidth="1"/>
    <col min="11293" max="11293" width="8.83203125" style="1" customWidth="1"/>
    <col min="11294" max="11294" width="10.83203125" style="1" customWidth="1"/>
    <col min="11295" max="11295" width="11.6640625" style="1" customWidth="1"/>
    <col min="11296" max="11296" width="12.6640625" style="1" customWidth="1"/>
    <col min="11297" max="11297" width="13.33203125" style="1" customWidth="1"/>
    <col min="11298" max="11298" width="10.1640625" style="1" customWidth="1"/>
    <col min="11299" max="11299" width="11.5" style="1" customWidth="1"/>
    <col min="11300" max="11301" width="12" style="1" customWidth="1"/>
    <col min="11302" max="11302" width="9.6640625" style="1" customWidth="1"/>
    <col min="11303" max="11303" width="2.5" style="1" customWidth="1"/>
    <col min="11304" max="11538" width="9.33203125" style="1"/>
    <col min="11539" max="11539" width="2.6640625" style="1" customWidth="1"/>
    <col min="11540" max="11540" width="5" style="1" customWidth="1"/>
    <col min="11541" max="11541" width="43.1640625" style="1" customWidth="1"/>
    <col min="11542" max="11542" width="14.83203125" style="1" customWidth="1"/>
    <col min="11543" max="11543" width="9.33203125" style="1" customWidth="1"/>
    <col min="11544" max="11544" width="14.6640625" style="1" customWidth="1"/>
    <col min="11545" max="11545" width="11.33203125" style="1" customWidth="1"/>
    <col min="11546" max="11546" width="13.33203125" style="1" customWidth="1"/>
    <col min="11547" max="11547" width="9.6640625" style="1" customWidth="1"/>
    <col min="11548" max="11548" width="17.1640625" style="1" customWidth="1"/>
    <col min="11549" max="11549" width="8.83203125" style="1" customWidth="1"/>
    <col min="11550" max="11550" width="10.83203125" style="1" customWidth="1"/>
    <col min="11551" max="11551" width="11.6640625" style="1" customWidth="1"/>
    <col min="11552" max="11552" width="12.6640625" style="1" customWidth="1"/>
    <col min="11553" max="11553" width="13.33203125" style="1" customWidth="1"/>
    <col min="11554" max="11554" width="10.1640625" style="1" customWidth="1"/>
    <col min="11555" max="11555" width="11.5" style="1" customWidth="1"/>
    <col min="11556" max="11557" width="12" style="1" customWidth="1"/>
    <col min="11558" max="11558" width="9.6640625" style="1" customWidth="1"/>
    <col min="11559" max="11559" width="2.5" style="1" customWidth="1"/>
    <col min="11560" max="11794" width="9.33203125" style="1"/>
    <col min="11795" max="11795" width="2.6640625" style="1" customWidth="1"/>
    <col min="11796" max="11796" width="5" style="1" customWidth="1"/>
    <col min="11797" max="11797" width="43.1640625" style="1" customWidth="1"/>
    <col min="11798" max="11798" width="14.83203125" style="1" customWidth="1"/>
    <col min="11799" max="11799" width="9.33203125" style="1" customWidth="1"/>
    <col min="11800" max="11800" width="14.6640625" style="1" customWidth="1"/>
    <col min="11801" max="11801" width="11.33203125" style="1" customWidth="1"/>
    <col min="11802" max="11802" width="13.33203125" style="1" customWidth="1"/>
    <col min="11803" max="11803" width="9.6640625" style="1" customWidth="1"/>
    <col min="11804" max="11804" width="17.1640625" style="1" customWidth="1"/>
    <col min="11805" max="11805" width="8.83203125" style="1" customWidth="1"/>
    <col min="11806" max="11806" width="10.83203125" style="1" customWidth="1"/>
    <col min="11807" max="11807" width="11.6640625" style="1" customWidth="1"/>
    <col min="11808" max="11808" width="12.6640625" style="1" customWidth="1"/>
    <col min="11809" max="11809" width="13.33203125" style="1" customWidth="1"/>
    <col min="11810" max="11810" width="10.1640625" style="1" customWidth="1"/>
    <col min="11811" max="11811" width="11.5" style="1" customWidth="1"/>
    <col min="11812" max="11813" width="12" style="1" customWidth="1"/>
    <col min="11814" max="11814" width="9.6640625" style="1" customWidth="1"/>
    <col min="11815" max="11815" width="2.5" style="1" customWidth="1"/>
    <col min="11816" max="12050" width="9.33203125" style="1"/>
    <col min="12051" max="12051" width="2.6640625" style="1" customWidth="1"/>
    <col min="12052" max="12052" width="5" style="1" customWidth="1"/>
    <col min="12053" max="12053" width="43.1640625" style="1" customWidth="1"/>
    <col min="12054" max="12054" width="14.83203125" style="1" customWidth="1"/>
    <col min="12055" max="12055" width="9.33203125" style="1" customWidth="1"/>
    <col min="12056" max="12056" width="14.6640625" style="1" customWidth="1"/>
    <col min="12057" max="12057" width="11.33203125" style="1" customWidth="1"/>
    <col min="12058" max="12058" width="13.33203125" style="1" customWidth="1"/>
    <col min="12059" max="12059" width="9.6640625" style="1" customWidth="1"/>
    <col min="12060" max="12060" width="17.1640625" style="1" customWidth="1"/>
    <col min="12061" max="12061" width="8.83203125" style="1" customWidth="1"/>
    <col min="12062" max="12062" width="10.83203125" style="1" customWidth="1"/>
    <col min="12063" max="12063" width="11.6640625" style="1" customWidth="1"/>
    <col min="12064" max="12064" width="12.6640625" style="1" customWidth="1"/>
    <col min="12065" max="12065" width="13.33203125" style="1" customWidth="1"/>
    <col min="12066" max="12066" width="10.1640625" style="1" customWidth="1"/>
    <col min="12067" max="12067" width="11.5" style="1" customWidth="1"/>
    <col min="12068" max="12069" width="12" style="1" customWidth="1"/>
    <col min="12070" max="12070" width="9.6640625" style="1" customWidth="1"/>
    <col min="12071" max="12071" width="2.5" style="1" customWidth="1"/>
    <col min="12072" max="12306" width="9.33203125" style="1"/>
    <col min="12307" max="12307" width="2.6640625" style="1" customWidth="1"/>
    <col min="12308" max="12308" width="5" style="1" customWidth="1"/>
    <col min="12309" max="12309" width="43.1640625" style="1" customWidth="1"/>
    <col min="12310" max="12310" width="14.83203125" style="1" customWidth="1"/>
    <col min="12311" max="12311" width="9.33203125" style="1" customWidth="1"/>
    <col min="12312" max="12312" width="14.6640625" style="1" customWidth="1"/>
    <col min="12313" max="12313" width="11.33203125" style="1" customWidth="1"/>
    <col min="12314" max="12314" width="13.33203125" style="1" customWidth="1"/>
    <col min="12315" max="12315" width="9.6640625" style="1" customWidth="1"/>
    <col min="12316" max="12316" width="17.1640625" style="1" customWidth="1"/>
    <col min="12317" max="12317" width="8.83203125" style="1" customWidth="1"/>
    <col min="12318" max="12318" width="10.83203125" style="1" customWidth="1"/>
    <col min="12319" max="12319" width="11.6640625" style="1" customWidth="1"/>
    <col min="12320" max="12320" width="12.6640625" style="1" customWidth="1"/>
    <col min="12321" max="12321" width="13.33203125" style="1" customWidth="1"/>
    <col min="12322" max="12322" width="10.1640625" style="1" customWidth="1"/>
    <col min="12323" max="12323" width="11.5" style="1" customWidth="1"/>
    <col min="12324" max="12325" width="12" style="1" customWidth="1"/>
    <col min="12326" max="12326" width="9.6640625" style="1" customWidth="1"/>
    <col min="12327" max="12327" width="2.5" style="1" customWidth="1"/>
    <col min="12328" max="12562" width="9.33203125" style="1"/>
    <col min="12563" max="12563" width="2.6640625" style="1" customWidth="1"/>
    <col min="12564" max="12564" width="5" style="1" customWidth="1"/>
    <col min="12565" max="12565" width="43.1640625" style="1" customWidth="1"/>
    <col min="12566" max="12566" width="14.83203125" style="1" customWidth="1"/>
    <col min="12567" max="12567" width="9.33203125" style="1" customWidth="1"/>
    <col min="12568" max="12568" width="14.6640625" style="1" customWidth="1"/>
    <col min="12569" max="12569" width="11.33203125" style="1" customWidth="1"/>
    <col min="12570" max="12570" width="13.33203125" style="1" customWidth="1"/>
    <col min="12571" max="12571" width="9.6640625" style="1" customWidth="1"/>
    <col min="12572" max="12572" width="17.1640625" style="1" customWidth="1"/>
    <col min="12573" max="12573" width="8.83203125" style="1" customWidth="1"/>
    <col min="12574" max="12574" width="10.83203125" style="1" customWidth="1"/>
    <col min="12575" max="12575" width="11.6640625" style="1" customWidth="1"/>
    <col min="12576" max="12576" width="12.6640625" style="1" customWidth="1"/>
    <col min="12577" max="12577" width="13.33203125" style="1" customWidth="1"/>
    <col min="12578" max="12578" width="10.1640625" style="1" customWidth="1"/>
    <col min="12579" max="12579" width="11.5" style="1" customWidth="1"/>
    <col min="12580" max="12581" width="12" style="1" customWidth="1"/>
    <col min="12582" max="12582" width="9.6640625" style="1" customWidth="1"/>
    <col min="12583" max="12583" width="2.5" style="1" customWidth="1"/>
    <col min="12584" max="12818" width="9.33203125" style="1"/>
    <col min="12819" max="12819" width="2.6640625" style="1" customWidth="1"/>
    <col min="12820" max="12820" width="5" style="1" customWidth="1"/>
    <col min="12821" max="12821" width="43.1640625" style="1" customWidth="1"/>
    <col min="12822" max="12822" width="14.83203125" style="1" customWidth="1"/>
    <col min="12823" max="12823" width="9.33203125" style="1" customWidth="1"/>
    <col min="12824" max="12824" width="14.6640625" style="1" customWidth="1"/>
    <col min="12825" max="12825" width="11.33203125" style="1" customWidth="1"/>
    <col min="12826" max="12826" width="13.33203125" style="1" customWidth="1"/>
    <col min="12827" max="12827" width="9.6640625" style="1" customWidth="1"/>
    <col min="12828" max="12828" width="17.1640625" style="1" customWidth="1"/>
    <col min="12829" max="12829" width="8.83203125" style="1" customWidth="1"/>
    <col min="12830" max="12830" width="10.83203125" style="1" customWidth="1"/>
    <col min="12831" max="12831" width="11.6640625" style="1" customWidth="1"/>
    <col min="12832" max="12832" width="12.6640625" style="1" customWidth="1"/>
    <col min="12833" max="12833" width="13.33203125" style="1" customWidth="1"/>
    <col min="12834" max="12834" width="10.1640625" style="1" customWidth="1"/>
    <col min="12835" max="12835" width="11.5" style="1" customWidth="1"/>
    <col min="12836" max="12837" width="12" style="1" customWidth="1"/>
    <col min="12838" max="12838" width="9.6640625" style="1" customWidth="1"/>
    <col min="12839" max="12839" width="2.5" style="1" customWidth="1"/>
    <col min="12840" max="13074" width="9.33203125" style="1"/>
    <col min="13075" max="13075" width="2.6640625" style="1" customWidth="1"/>
    <col min="13076" max="13076" width="5" style="1" customWidth="1"/>
    <col min="13077" max="13077" width="43.1640625" style="1" customWidth="1"/>
    <col min="13078" max="13078" width="14.83203125" style="1" customWidth="1"/>
    <col min="13079" max="13079" width="9.33203125" style="1" customWidth="1"/>
    <col min="13080" max="13080" width="14.6640625" style="1" customWidth="1"/>
    <col min="13081" max="13081" width="11.33203125" style="1" customWidth="1"/>
    <col min="13082" max="13082" width="13.33203125" style="1" customWidth="1"/>
    <col min="13083" max="13083" width="9.6640625" style="1" customWidth="1"/>
    <col min="13084" max="13084" width="17.1640625" style="1" customWidth="1"/>
    <col min="13085" max="13085" width="8.83203125" style="1" customWidth="1"/>
    <col min="13086" max="13086" width="10.83203125" style="1" customWidth="1"/>
    <col min="13087" max="13087" width="11.6640625" style="1" customWidth="1"/>
    <col min="13088" max="13088" width="12.6640625" style="1" customWidth="1"/>
    <col min="13089" max="13089" width="13.33203125" style="1" customWidth="1"/>
    <col min="13090" max="13090" width="10.1640625" style="1" customWidth="1"/>
    <col min="13091" max="13091" width="11.5" style="1" customWidth="1"/>
    <col min="13092" max="13093" width="12" style="1" customWidth="1"/>
    <col min="13094" max="13094" width="9.6640625" style="1" customWidth="1"/>
    <col min="13095" max="13095" width="2.5" style="1" customWidth="1"/>
    <col min="13096" max="13330" width="9.33203125" style="1"/>
    <col min="13331" max="13331" width="2.6640625" style="1" customWidth="1"/>
    <col min="13332" max="13332" width="5" style="1" customWidth="1"/>
    <col min="13333" max="13333" width="43.1640625" style="1" customWidth="1"/>
    <col min="13334" max="13334" width="14.83203125" style="1" customWidth="1"/>
    <col min="13335" max="13335" width="9.33203125" style="1" customWidth="1"/>
    <col min="13336" max="13336" width="14.6640625" style="1" customWidth="1"/>
    <col min="13337" max="13337" width="11.33203125" style="1" customWidth="1"/>
    <col min="13338" max="13338" width="13.33203125" style="1" customWidth="1"/>
    <col min="13339" max="13339" width="9.6640625" style="1" customWidth="1"/>
    <col min="13340" max="13340" width="17.1640625" style="1" customWidth="1"/>
    <col min="13341" max="13341" width="8.83203125" style="1" customWidth="1"/>
    <col min="13342" max="13342" width="10.83203125" style="1" customWidth="1"/>
    <col min="13343" max="13343" width="11.6640625" style="1" customWidth="1"/>
    <col min="13344" max="13344" width="12.6640625" style="1" customWidth="1"/>
    <col min="13345" max="13345" width="13.33203125" style="1" customWidth="1"/>
    <col min="13346" max="13346" width="10.1640625" style="1" customWidth="1"/>
    <col min="13347" max="13347" width="11.5" style="1" customWidth="1"/>
    <col min="13348" max="13349" width="12" style="1" customWidth="1"/>
    <col min="13350" max="13350" width="9.6640625" style="1" customWidth="1"/>
    <col min="13351" max="13351" width="2.5" style="1" customWidth="1"/>
    <col min="13352" max="13586" width="9.33203125" style="1"/>
    <col min="13587" max="13587" width="2.6640625" style="1" customWidth="1"/>
    <col min="13588" max="13588" width="5" style="1" customWidth="1"/>
    <col min="13589" max="13589" width="43.1640625" style="1" customWidth="1"/>
    <col min="13590" max="13590" width="14.83203125" style="1" customWidth="1"/>
    <col min="13591" max="13591" width="9.33203125" style="1" customWidth="1"/>
    <col min="13592" max="13592" width="14.6640625" style="1" customWidth="1"/>
    <col min="13593" max="13593" width="11.33203125" style="1" customWidth="1"/>
    <col min="13594" max="13594" width="13.33203125" style="1" customWidth="1"/>
    <col min="13595" max="13595" width="9.6640625" style="1" customWidth="1"/>
    <col min="13596" max="13596" width="17.1640625" style="1" customWidth="1"/>
    <col min="13597" max="13597" width="8.83203125" style="1" customWidth="1"/>
    <col min="13598" max="13598" width="10.83203125" style="1" customWidth="1"/>
    <col min="13599" max="13599" width="11.6640625" style="1" customWidth="1"/>
    <col min="13600" max="13600" width="12.6640625" style="1" customWidth="1"/>
    <col min="13601" max="13601" width="13.33203125" style="1" customWidth="1"/>
    <col min="13602" max="13602" width="10.1640625" style="1" customWidth="1"/>
    <col min="13603" max="13603" width="11.5" style="1" customWidth="1"/>
    <col min="13604" max="13605" width="12" style="1" customWidth="1"/>
    <col min="13606" max="13606" width="9.6640625" style="1" customWidth="1"/>
    <col min="13607" max="13607" width="2.5" style="1" customWidth="1"/>
    <col min="13608" max="13842" width="9.33203125" style="1"/>
    <col min="13843" max="13843" width="2.6640625" style="1" customWidth="1"/>
    <col min="13844" max="13844" width="5" style="1" customWidth="1"/>
    <col min="13845" max="13845" width="43.1640625" style="1" customWidth="1"/>
    <col min="13846" max="13846" width="14.83203125" style="1" customWidth="1"/>
    <col min="13847" max="13847" width="9.33203125" style="1" customWidth="1"/>
    <col min="13848" max="13848" width="14.6640625" style="1" customWidth="1"/>
    <col min="13849" max="13849" width="11.33203125" style="1" customWidth="1"/>
    <col min="13850" max="13850" width="13.33203125" style="1" customWidth="1"/>
    <col min="13851" max="13851" width="9.6640625" style="1" customWidth="1"/>
    <col min="13852" max="13852" width="17.1640625" style="1" customWidth="1"/>
    <col min="13853" max="13853" width="8.83203125" style="1" customWidth="1"/>
    <col min="13854" max="13854" width="10.83203125" style="1" customWidth="1"/>
    <col min="13855" max="13855" width="11.6640625" style="1" customWidth="1"/>
    <col min="13856" max="13856" width="12.6640625" style="1" customWidth="1"/>
    <col min="13857" max="13857" width="13.33203125" style="1" customWidth="1"/>
    <col min="13858" max="13858" width="10.1640625" style="1" customWidth="1"/>
    <col min="13859" max="13859" width="11.5" style="1" customWidth="1"/>
    <col min="13860" max="13861" width="12" style="1" customWidth="1"/>
    <col min="13862" max="13862" width="9.6640625" style="1" customWidth="1"/>
    <col min="13863" max="13863" width="2.5" style="1" customWidth="1"/>
    <col min="13864" max="14098" width="9.33203125" style="1"/>
    <col min="14099" max="14099" width="2.6640625" style="1" customWidth="1"/>
    <col min="14100" max="14100" width="5" style="1" customWidth="1"/>
    <col min="14101" max="14101" width="43.1640625" style="1" customWidth="1"/>
    <col min="14102" max="14102" width="14.83203125" style="1" customWidth="1"/>
    <col min="14103" max="14103" width="9.33203125" style="1" customWidth="1"/>
    <col min="14104" max="14104" width="14.6640625" style="1" customWidth="1"/>
    <col min="14105" max="14105" width="11.33203125" style="1" customWidth="1"/>
    <col min="14106" max="14106" width="13.33203125" style="1" customWidth="1"/>
    <col min="14107" max="14107" width="9.6640625" style="1" customWidth="1"/>
    <col min="14108" max="14108" width="17.1640625" style="1" customWidth="1"/>
    <col min="14109" max="14109" width="8.83203125" style="1" customWidth="1"/>
    <col min="14110" max="14110" width="10.83203125" style="1" customWidth="1"/>
    <col min="14111" max="14111" width="11.6640625" style="1" customWidth="1"/>
    <col min="14112" max="14112" width="12.6640625" style="1" customWidth="1"/>
    <col min="14113" max="14113" width="13.33203125" style="1" customWidth="1"/>
    <col min="14114" max="14114" width="10.1640625" style="1" customWidth="1"/>
    <col min="14115" max="14115" width="11.5" style="1" customWidth="1"/>
    <col min="14116" max="14117" width="12" style="1" customWidth="1"/>
    <col min="14118" max="14118" width="9.6640625" style="1" customWidth="1"/>
    <col min="14119" max="14119" width="2.5" style="1" customWidth="1"/>
    <col min="14120" max="14354" width="9.33203125" style="1"/>
    <col min="14355" max="14355" width="2.6640625" style="1" customWidth="1"/>
    <col min="14356" max="14356" width="5" style="1" customWidth="1"/>
    <col min="14357" max="14357" width="43.1640625" style="1" customWidth="1"/>
    <col min="14358" max="14358" width="14.83203125" style="1" customWidth="1"/>
    <col min="14359" max="14359" width="9.33203125" style="1" customWidth="1"/>
    <col min="14360" max="14360" width="14.6640625" style="1" customWidth="1"/>
    <col min="14361" max="14361" width="11.33203125" style="1" customWidth="1"/>
    <col min="14362" max="14362" width="13.33203125" style="1" customWidth="1"/>
    <col min="14363" max="14363" width="9.6640625" style="1" customWidth="1"/>
    <col min="14364" max="14364" width="17.1640625" style="1" customWidth="1"/>
    <col min="14365" max="14365" width="8.83203125" style="1" customWidth="1"/>
    <col min="14366" max="14366" width="10.83203125" style="1" customWidth="1"/>
    <col min="14367" max="14367" width="11.6640625" style="1" customWidth="1"/>
    <col min="14368" max="14368" width="12.6640625" style="1" customWidth="1"/>
    <col min="14369" max="14369" width="13.33203125" style="1" customWidth="1"/>
    <col min="14370" max="14370" width="10.1640625" style="1" customWidth="1"/>
    <col min="14371" max="14371" width="11.5" style="1" customWidth="1"/>
    <col min="14372" max="14373" width="12" style="1" customWidth="1"/>
    <col min="14374" max="14374" width="9.6640625" style="1" customWidth="1"/>
    <col min="14375" max="14375" width="2.5" style="1" customWidth="1"/>
    <col min="14376" max="14610" width="9.33203125" style="1"/>
    <col min="14611" max="14611" width="2.6640625" style="1" customWidth="1"/>
    <col min="14612" max="14612" width="5" style="1" customWidth="1"/>
    <col min="14613" max="14613" width="43.1640625" style="1" customWidth="1"/>
    <col min="14614" max="14614" width="14.83203125" style="1" customWidth="1"/>
    <col min="14615" max="14615" width="9.33203125" style="1" customWidth="1"/>
    <col min="14616" max="14616" width="14.6640625" style="1" customWidth="1"/>
    <col min="14617" max="14617" width="11.33203125" style="1" customWidth="1"/>
    <col min="14618" max="14618" width="13.33203125" style="1" customWidth="1"/>
    <col min="14619" max="14619" width="9.6640625" style="1" customWidth="1"/>
    <col min="14620" max="14620" width="17.1640625" style="1" customWidth="1"/>
    <col min="14621" max="14621" width="8.83203125" style="1" customWidth="1"/>
    <col min="14622" max="14622" width="10.83203125" style="1" customWidth="1"/>
    <col min="14623" max="14623" width="11.6640625" style="1" customWidth="1"/>
    <col min="14624" max="14624" width="12.6640625" style="1" customWidth="1"/>
    <col min="14625" max="14625" width="13.33203125" style="1" customWidth="1"/>
    <col min="14626" max="14626" width="10.1640625" style="1" customWidth="1"/>
    <col min="14627" max="14627" width="11.5" style="1" customWidth="1"/>
    <col min="14628" max="14629" width="12" style="1" customWidth="1"/>
    <col min="14630" max="14630" width="9.6640625" style="1" customWidth="1"/>
    <col min="14631" max="14631" width="2.5" style="1" customWidth="1"/>
    <col min="14632" max="14866" width="9.33203125" style="1"/>
    <col min="14867" max="14867" width="2.6640625" style="1" customWidth="1"/>
    <col min="14868" max="14868" width="5" style="1" customWidth="1"/>
    <col min="14869" max="14869" width="43.1640625" style="1" customWidth="1"/>
    <col min="14870" max="14870" width="14.83203125" style="1" customWidth="1"/>
    <col min="14871" max="14871" width="9.33203125" style="1" customWidth="1"/>
    <col min="14872" max="14872" width="14.6640625" style="1" customWidth="1"/>
    <col min="14873" max="14873" width="11.33203125" style="1" customWidth="1"/>
    <col min="14874" max="14874" width="13.33203125" style="1" customWidth="1"/>
    <col min="14875" max="14875" width="9.6640625" style="1" customWidth="1"/>
    <col min="14876" max="14876" width="17.1640625" style="1" customWidth="1"/>
    <col min="14877" max="14877" width="8.83203125" style="1" customWidth="1"/>
    <col min="14878" max="14878" width="10.83203125" style="1" customWidth="1"/>
    <col min="14879" max="14879" width="11.6640625" style="1" customWidth="1"/>
    <col min="14880" max="14880" width="12.6640625" style="1" customWidth="1"/>
    <col min="14881" max="14881" width="13.33203125" style="1" customWidth="1"/>
    <col min="14882" max="14882" width="10.1640625" style="1" customWidth="1"/>
    <col min="14883" max="14883" width="11.5" style="1" customWidth="1"/>
    <col min="14884" max="14885" width="12" style="1" customWidth="1"/>
    <col min="14886" max="14886" width="9.6640625" style="1" customWidth="1"/>
    <col min="14887" max="14887" width="2.5" style="1" customWidth="1"/>
    <col min="14888" max="15122" width="9.33203125" style="1"/>
    <col min="15123" max="15123" width="2.6640625" style="1" customWidth="1"/>
    <col min="15124" max="15124" width="5" style="1" customWidth="1"/>
    <col min="15125" max="15125" width="43.1640625" style="1" customWidth="1"/>
    <col min="15126" max="15126" width="14.83203125" style="1" customWidth="1"/>
    <col min="15127" max="15127" width="9.33203125" style="1" customWidth="1"/>
    <col min="15128" max="15128" width="14.6640625" style="1" customWidth="1"/>
    <col min="15129" max="15129" width="11.33203125" style="1" customWidth="1"/>
    <col min="15130" max="15130" width="13.33203125" style="1" customWidth="1"/>
    <col min="15131" max="15131" width="9.6640625" style="1" customWidth="1"/>
    <col min="15132" max="15132" width="17.1640625" style="1" customWidth="1"/>
    <col min="15133" max="15133" width="8.83203125" style="1" customWidth="1"/>
    <col min="15134" max="15134" width="10.83203125" style="1" customWidth="1"/>
    <col min="15135" max="15135" width="11.6640625" style="1" customWidth="1"/>
    <col min="15136" max="15136" width="12.6640625" style="1" customWidth="1"/>
    <col min="15137" max="15137" width="13.33203125" style="1" customWidth="1"/>
    <col min="15138" max="15138" width="10.1640625" style="1" customWidth="1"/>
    <col min="15139" max="15139" width="11.5" style="1" customWidth="1"/>
    <col min="15140" max="15141" width="12" style="1" customWidth="1"/>
    <col min="15142" max="15142" width="9.6640625" style="1" customWidth="1"/>
    <col min="15143" max="15143" width="2.5" style="1" customWidth="1"/>
    <col min="15144" max="15378" width="9.33203125" style="1"/>
    <col min="15379" max="15379" width="2.6640625" style="1" customWidth="1"/>
    <col min="15380" max="15380" width="5" style="1" customWidth="1"/>
    <col min="15381" max="15381" width="43.1640625" style="1" customWidth="1"/>
    <col min="15382" max="15382" width="14.83203125" style="1" customWidth="1"/>
    <col min="15383" max="15383" width="9.33203125" style="1" customWidth="1"/>
    <col min="15384" max="15384" width="14.6640625" style="1" customWidth="1"/>
    <col min="15385" max="15385" width="11.33203125" style="1" customWidth="1"/>
    <col min="15386" max="15386" width="13.33203125" style="1" customWidth="1"/>
    <col min="15387" max="15387" width="9.6640625" style="1" customWidth="1"/>
    <col min="15388" max="15388" width="17.1640625" style="1" customWidth="1"/>
    <col min="15389" max="15389" width="8.83203125" style="1" customWidth="1"/>
    <col min="15390" max="15390" width="10.83203125" style="1" customWidth="1"/>
    <col min="15391" max="15391" width="11.6640625" style="1" customWidth="1"/>
    <col min="15392" max="15392" width="12.6640625" style="1" customWidth="1"/>
    <col min="15393" max="15393" width="13.33203125" style="1" customWidth="1"/>
    <col min="15394" max="15394" width="10.1640625" style="1" customWidth="1"/>
    <col min="15395" max="15395" width="11.5" style="1" customWidth="1"/>
    <col min="15396" max="15397" width="12" style="1" customWidth="1"/>
    <col min="15398" max="15398" width="9.6640625" style="1" customWidth="1"/>
    <col min="15399" max="15399" width="2.5" style="1" customWidth="1"/>
    <col min="15400" max="15634" width="9.33203125" style="1"/>
    <col min="15635" max="15635" width="2.6640625" style="1" customWidth="1"/>
    <col min="15636" max="15636" width="5" style="1" customWidth="1"/>
    <col min="15637" max="15637" width="43.1640625" style="1" customWidth="1"/>
    <col min="15638" max="15638" width="14.83203125" style="1" customWidth="1"/>
    <col min="15639" max="15639" width="9.33203125" style="1" customWidth="1"/>
    <col min="15640" max="15640" width="14.6640625" style="1" customWidth="1"/>
    <col min="15641" max="15641" width="11.33203125" style="1" customWidth="1"/>
    <col min="15642" max="15642" width="13.33203125" style="1" customWidth="1"/>
    <col min="15643" max="15643" width="9.6640625" style="1" customWidth="1"/>
    <col min="15644" max="15644" width="17.1640625" style="1" customWidth="1"/>
    <col min="15645" max="15645" width="8.83203125" style="1" customWidth="1"/>
    <col min="15646" max="15646" width="10.83203125" style="1" customWidth="1"/>
    <col min="15647" max="15647" width="11.6640625" style="1" customWidth="1"/>
    <col min="15648" max="15648" width="12.6640625" style="1" customWidth="1"/>
    <col min="15649" max="15649" width="13.33203125" style="1" customWidth="1"/>
    <col min="15650" max="15650" width="10.1640625" style="1" customWidth="1"/>
    <col min="15651" max="15651" width="11.5" style="1" customWidth="1"/>
    <col min="15652" max="15653" width="12" style="1" customWidth="1"/>
    <col min="15654" max="15654" width="9.6640625" style="1" customWidth="1"/>
    <col min="15655" max="15655" width="2.5" style="1" customWidth="1"/>
    <col min="15656" max="15890" width="9.33203125" style="1"/>
    <col min="15891" max="15891" width="2.6640625" style="1" customWidth="1"/>
    <col min="15892" max="15892" width="5" style="1" customWidth="1"/>
    <col min="15893" max="15893" width="43.1640625" style="1" customWidth="1"/>
    <col min="15894" max="15894" width="14.83203125" style="1" customWidth="1"/>
    <col min="15895" max="15895" width="9.33203125" style="1" customWidth="1"/>
    <col min="15896" max="15896" width="14.6640625" style="1" customWidth="1"/>
    <col min="15897" max="15897" width="11.33203125" style="1" customWidth="1"/>
    <col min="15898" max="15898" width="13.33203125" style="1" customWidth="1"/>
    <col min="15899" max="15899" width="9.6640625" style="1" customWidth="1"/>
    <col min="15900" max="15900" width="17.1640625" style="1" customWidth="1"/>
    <col min="15901" max="15901" width="8.83203125" style="1" customWidth="1"/>
    <col min="15902" max="15902" width="10.83203125" style="1" customWidth="1"/>
    <col min="15903" max="15903" width="11.6640625" style="1" customWidth="1"/>
    <col min="15904" max="15904" width="12.6640625" style="1" customWidth="1"/>
    <col min="15905" max="15905" width="13.33203125" style="1" customWidth="1"/>
    <col min="15906" max="15906" width="10.1640625" style="1" customWidth="1"/>
    <col min="15907" max="15907" width="11.5" style="1" customWidth="1"/>
    <col min="15908" max="15909" width="12" style="1" customWidth="1"/>
    <col min="15910" max="15910" width="9.6640625" style="1" customWidth="1"/>
    <col min="15911" max="15911" width="2.5" style="1" customWidth="1"/>
    <col min="15912" max="16146" width="9.33203125" style="1"/>
    <col min="16147" max="16147" width="2.6640625" style="1" customWidth="1"/>
    <col min="16148" max="16148" width="5" style="1" customWidth="1"/>
    <col min="16149" max="16149" width="43.1640625" style="1" customWidth="1"/>
    <col min="16150" max="16150" width="14.83203125" style="1" customWidth="1"/>
    <col min="16151" max="16151" width="9.33203125" style="1" customWidth="1"/>
    <col min="16152" max="16152" width="14.6640625" style="1" customWidth="1"/>
    <col min="16153" max="16153" width="11.33203125" style="1" customWidth="1"/>
    <col min="16154" max="16154" width="13.33203125" style="1" customWidth="1"/>
    <col min="16155" max="16155" width="9.6640625" style="1" customWidth="1"/>
    <col min="16156" max="16156" width="17.1640625" style="1" customWidth="1"/>
    <col min="16157" max="16157" width="8.83203125" style="1" customWidth="1"/>
    <col min="16158" max="16158" width="10.83203125" style="1" customWidth="1"/>
    <col min="16159" max="16159" width="11.6640625" style="1" customWidth="1"/>
    <col min="16160" max="16160" width="12.6640625" style="1" customWidth="1"/>
    <col min="16161" max="16161" width="13.33203125" style="1" customWidth="1"/>
    <col min="16162" max="16162" width="10.1640625" style="1" customWidth="1"/>
    <col min="16163" max="16163" width="11.5" style="1" customWidth="1"/>
    <col min="16164" max="16165" width="12" style="1" customWidth="1"/>
    <col min="16166" max="16166" width="9.6640625" style="1" customWidth="1"/>
    <col min="16167" max="16167" width="2.5" style="1" customWidth="1"/>
    <col min="16168" max="16384" width="9.33203125" style="1"/>
  </cols>
  <sheetData>
    <row r="1" spans="2:39" ht="13.5" thickBot="1" x14ac:dyDescent="0.25"/>
    <row r="2" spans="2:39" ht="30" customHeight="1" thickBot="1" x14ac:dyDescent="0.25">
      <c r="B2" s="698" t="s">
        <v>1082</v>
      </c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  <c r="Z2" s="699"/>
      <c r="AA2" s="699"/>
      <c r="AB2" s="699"/>
      <c r="AC2" s="699"/>
      <c r="AD2" s="699"/>
      <c r="AE2" s="699"/>
      <c r="AF2" s="699"/>
      <c r="AG2" s="699"/>
      <c r="AH2" s="699"/>
      <c r="AI2" s="699"/>
      <c r="AJ2" s="699"/>
      <c r="AK2" s="699"/>
      <c r="AL2" s="700"/>
    </row>
    <row r="3" spans="2:39" s="2" customFormat="1" ht="51" customHeight="1" thickBot="1" x14ac:dyDescent="0.25">
      <c r="B3" s="355" t="s">
        <v>286</v>
      </c>
      <c r="C3" s="701" t="s">
        <v>5</v>
      </c>
      <c r="D3" s="702"/>
      <c r="E3" s="702"/>
      <c r="F3" s="702"/>
      <c r="G3" s="702"/>
      <c r="H3" s="703"/>
      <c r="I3" s="704" t="s">
        <v>389</v>
      </c>
      <c r="J3" s="706" t="s">
        <v>390</v>
      </c>
      <c r="K3" s="706" t="s">
        <v>391</v>
      </c>
      <c r="L3" s="706" t="s">
        <v>392</v>
      </c>
      <c r="M3" s="707" t="s">
        <v>393</v>
      </c>
      <c r="N3" s="709" t="s">
        <v>6</v>
      </c>
      <c r="O3" s="710"/>
      <c r="P3" s="709" t="s">
        <v>7</v>
      </c>
      <c r="Q3" s="711"/>
      <c r="R3" s="711"/>
      <c r="S3" s="711"/>
      <c r="T3" s="709" t="s">
        <v>394</v>
      </c>
      <c r="U3" s="711"/>
      <c r="V3" s="711"/>
      <c r="W3" s="710"/>
      <c r="X3" s="709" t="s">
        <v>395</v>
      </c>
      <c r="Y3" s="711"/>
      <c r="Z3" s="711"/>
      <c r="AA3" s="710"/>
      <c r="AB3" s="709" t="s">
        <v>8</v>
      </c>
      <c r="AC3" s="711"/>
      <c r="AD3" s="711"/>
      <c r="AE3" s="711"/>
      <c r="AF3" s="711"/>
      <c r="AG3" s="710"/>
      <c r="AH3" s="709" t="s">
        <v>9</v>
      </c>
      <c r="AI3" s="711"/>
      <c r="AJ3" s="711"/>
      <c r="AK3" s="711"/>
      <c r="AL3" s="710"/>
    </row>
    <row r="4" spans="2:39" s="2" customFormat="1" ht="12.75" customHeight="1" x14ac:dyDescent="0.2">
      <c r="B4" s="712" t="s">
        <v>10</v>
      </c>
      <c r="C4" s="713" t="s">
        <v>11</v>
      </c>
      <c r="D4" s="692"/>
      <c r="E4" s="692"/>
      <c r="F4" s="692" t="s">
        <v>12</v>
      </c>
      <c r="G4" s="692"/>
      <c r="H4" s="693"/>
      <c r="I4" s="705"/>
      <c r="J4" s="692"/>
      <c r="K4" s="692"/>
      <c r="L4" s="692"/>
      <c r="M4" s="708"/>
      <c r="N4" s="690" t="s">
        <v>13</v>
      </c>
      <c r="O4" s="688" t="s">
        <v>396</v>
      </c>
      <c r="P4" s="690" t="s">
        <v>316</v>
      </c>
      <c r="Q4" s="686" t="s">
        <v>397</v>
      </c>
      <c r="R4" s="686" t="s">
        <v>539</v>
      </c>
      <c r="S4" s="786" t="s">
        <v>538</v>
      </c>
      <c r="T4" s="690" t="s">
        <v>258</v>
      </c>
      <c r="U4" s="686" t="s">
        <v>14</v>
      </c>
      <c r="V4" s="686" t="s">
        <v>15</v>
      </c>
      <c r="W4" s="688" t="s">
        <v>398</v>
      </c>
      <c r="X4" s="690" t="s">
        <v>13</v>
      </c>
      <c r="Y4" s="686" t="s">
        <v>399</v>
      </c>
      <c r="Z4" s="686" t="s">
        <v>259</v>
      </c>
      <c r="AA4" s="688" t="s">
        <v>400</v>
      </c>
      <c r="AB4" s="690" t="s">
        <v>16</v>
      </c>
      <c r="AC4" s="686" t="s">
        <v>401</v>
      </c>
      <c r="AD4" s="686" t="s">
        <v>402</v>
      </c>
      <c r="AE4" s="686"/>
      <c r="AF4" s="686"/>
      <c r="AG4" s="688"/>
      <c r="AH4" s="690" t="s">
        <v>540</v>
      </c>
      <c r="AI4" s="686" t="s">
        <v>541</v>
      </c>
      <c r="AJ4" s="686" t="s">
        <v>404</v>
      </c>
      <c r="AK4" s="686" t="s">
        <v>405</v>
      </c>
      <c r="AL4" s="688" t="s">
        <v>17</v>
      </c>
    </row>
    <row r="5" spans="2:39" s="2" customFormat="1" ht="25.5" x14ac:dyDescent="0.2">
      <c r="B5" s="712"/>
      <c r="C5" s="713"/>
      <c r="D5" s="692"/>
      <c r="E5" s="692"/>
      <c r="F5" s="692"/>
      <c r="G5" s="692"/>
      <c r="H5" s="693"/>
      <c r="I5" s="705"/>
      <c r="J5" s="692"/>
      <c r="K5" s="692"/>
      <c r="L5" s="692"/>
      <c r="M5" s="708"/>
      <c r="N5" s="691"/>
      <c r="O5" s="689"/>
      <c r="P5" s="691"/>
      <c r="Q5" s="687"/>
      <c r="R5" s="687"/>
      <c r="S5" s="688"/>
      <c r="T5" s="691"/>
      <c r="U5" s="687"/>
      <c r="V5" s="687"/>
      <c r="W5" s="689"/>
      <c r="X5" s="691"/>
      <c r="Y5" s="687"/>
      <c r="Z5" s="687"/>
      <c r="AA5" s="689"/>
      <c r="AB5" s="691"/>
      <c r="AC5" s="687"/>
      <c r="AD5" s="356" t="s">
        <v>406</v>
      </c>
      <c r="AE5" s="356" t="s">
        <v>285</v>
      </c>
      <c r="AF5" s="356" t="s">
        <v>407</v>
      </c>
      <c r="AG5" s="357" t="s">
        <v>18</v>
      </c>
      <c r="AH5" s="691"/>
      <c r="AI5" s="687"/>
      <c r="AJ5" s="687"/>
      <c r="AK5" s="687"/>
      <c r="AL5" s="689"/>
    </row>
    <row r="6" spans="2:39" ht="21.75" customHeight="1" thickBot="1" x14ac:dyDescent="0.25">
      <c r="B6" s="358" t="s">
        <v>476</v>
      </c>
      <c r="C6" s="359">
        <v>0</v>
      </c>
      <c r="D6" s="360" t="s">
        <v>19</v>
      </c>
      <c r="E6" s="361">
        <v>0</v>
      </c>
      <c r="F6" s="362">
        <v>0</v>
      </c>
      <c r="G6" s="363" t="s">
        <v>19</v>
      </c>
      <c r="H6" s="364">
        <v>0</v>
      </c>
      <c r="I6" s="365">
        <f>(F6*20+H6)-(C6*20+E6)</f>
        <v>0</v>
      </c>
      <c r="J6" s="361">
        <v>0</v>
      </c>
      <c r="K6" s="361">
        <f>+J6-0.6</f>
        <v>-0.6</v>
      </c>
      <c r="L6" s="361">
        <v>5904.48</v>
      </c>
      <c r="M6" s="366">
        <f>+K6*I6+L6</f>
        <v>5904.48</v>
      </c>
      <c r="N6" s="367">
        <v>0</v>
      </c>
      <c r="O6" s="368">
        <f>V6</f>
        <v>6893.83</v>
      </c>
      <c r="P6" s="367">
        <f>SUM(P21:P24)</f>
        <v>175.07</v>
      </c>
      <c r="Q6" s="369">
        <f>SUM(Q21:Q24)</f>
        <v>6453.34</v>
      </c>
      <c r="R6" s="369">
        <f>Q6-P6</f>
        <v>6278.27</v>
      </c>
      <c r="S6" s="369">
        <f>SUM(S21:S24)</f>
        <v>2830.43</v>
      </c>
      <c r="T6" s="367">
        <v>0</v>
      </c>
      <c r="U6" s="369">
        <v>0.15</v>
      </c>
      <c r="V6" s="369">
        <v>6893.83</v>
      </c>
      <c r="W6" s="368">
        <f>V6*U6</f>
        <v>1034.0744999999999</v>
      </c>
      <c r="X6" s="367">
        <v>0</v>
      </c>
      <c r="Y6" s="369">
        <v>0.15</v>
      </c>
      <c r="Z6" s="369">
        <v>6673.89</v>
      </c>
      <c r="AA6" s="368">
        <f>Z6*Y6</f>
        <v>1001.0835</v>
      </c>
      <c r="AB6" s="367">
        <f>M6</f>
        <v>5904.48</v>
      </c>
      <c r="AC6" s="369">
        <f>AB6*0.0012</f>
        <v>7.0853759999999992</v>
      </c>
      <c r="AD6" s="370">
        <v>0.05</v>
      </c>
      <c r="AE6" s="369">
        <f>M6</f>
        <v>5904.48</v>
      </c>
      <c r="AF6" s="369">
        <f>+AE6*AD6</f>
        <v>295.22399999999999</v>
      </c>
      <c r="AG6" s="368">
        <f>2.5548*AF6</f>
        <v>754.23827519999998</v>
      </c>
      <c r="AH6" s="371">
        <f>154.92+461.5+220.14+369.98</f>
        <v>1206.54</v>
      </c>
      <c r="AI6" s="372">
        <f>264.06+223.99</f>
        <v>488.05</v>
      </c>
      <c r="AJ6" s="372">
        <v>2689.43</v>
      </c>
      <c r="AK6" s="373">
        <v>41</v>
      </c>
      <c r="AL6" s="374">
        <v>0</v>
      </c>
    </row>
    <row r="7" spans="2:39" ht="19.5" customHeight="1" thickBot="1" x14ac:dyDescent="0.25">
      <c r="B7" s="375" t="s">
        <v>20</v>
      </c>
      <c r="C7" s="376"/>
      <c r="D7" s="377"/>
      <c r="E7" s="377"/>
      <c r="F7" s="376"/>
      <c r="G7" s="376"/>
      <c r="H7" s="378"/>
      <c r="I7" s="379">
        <f>SUM(I6:I6)</f>
        <v>0</v>
      </c>
      <c r="J7" s="379"/>
      <c r="K7" s="379"/>
      <c r="L7" s="379"/>
      <c r="M7" s="379">
        <f>SUM(M6:M6)</f>
        <v>5904.48</v>
      </c>
      <c r="N7" s="379"/>
      <c r="O7" s="379">
        <f>SUM(O6:O6)</f>
        <v>6893.83</v>
      </c>
      <c r="P7" s="379">
        <f>SUM(P6:P6)</f>
        <v>175.07</v>
      </c>
      <c r="Q7" s="379">
        <f>SUM(Q6:Q6)</f>
        <v>6453.34</v>
      </c>
      <c r="R7" s="379">
        <f>SUM(R6:R6)</f>
        <v>6278.27</v>
      </c>
      <c r="S7" s="379">
        <f>SUM(S6:S6)</f>
        <v>2830.43</v>
      </c>
      <c r="T7" s="379"/>
      <c r="U7" s="379"/>
      <c r="V7" s="379"/>
      <c r="W7" s="379">
        <f>SUM(W6:W6)</f>
        <v>1034.0744999999999</v>
      </c>
      <c r="X7" s="379"/>
      <c r="Y7" s="379"/>
      <c r="Z7" s="379"/>
      <c r="AA7" s="379">
        <f>SUM(AA6:AA6)</f>
        <v>1001.0835</v>
      </c>
      <c r="AB7" s="379">
        <f>SUM(AB6:AB6)</f>
        <v>5904.48</v>
      </c>
      <c r="AC7" s="379">
        <f>SUM(AC6:AC6)</f>
        <v>7.0853759999999992</v>
      </c>
      <c r="AD7" s="379"/>
      <c r="AE7" s="379">
        <f t="shared" ref="AE7:AL7" si="0">SUM(AE6:AE6)</f>
        <v>5904.48</v>
      </c>
      <c r="AF7" s="379">
        <f t="shared" si="0"/>
        <v>295.22399999999999</v>
      </c>
      <c r="AG7" s="379">
        <f t="shared" si="0"/>
        <v>754.23827519999998</v>
      </c>
      <c r="AH7" s="380">
        <f t="shared" si="0"/>
        <v>1206.54</v>
      </c>
      <c r="AI7" s="379">
        <f t="shared" si="0"/>
        <v>488.05</v>
      </c>
      <c r="AJ7" s="379">
        <f t="shared" si="0"/>
        <v>2689.43</v>
      </c>
      <c r="AK7" s="381">
        <f t="shared" si="0"/>
        <v>41</v>
      </c>
      <c r="AL7" s="382">
        <f t="shared" si="0"/>
        <v>0</v>
      </c>
      <c r="AM7" s="11"/>
    </row>
    <row r="8" spans="2:39" x14ac:dyDescent="0.2">
      <c r="B8" s="6"/>
      <c r="C8" s="7"/>
      <c r="D8" s="6"/>
      <c r="E8" s="6"/>
      <c r="F8" s="7"/>
      <c r="G8" s="7"/>
      <c r="H8" s="7"/>
      <c r="I8" s="8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</row>
    <row r="9" spans="2:39" ht="20.100000000000001" customHeight="1" x14ac:dyDescent="0.2">
      <c r="B9" s="6"/>
      <c r="C9" s="7"/>
      <c r="D9" s="6"/>
      <c r="E9" s="6"/>
      <c r="F9" s="7"/>
      <c r="G9" s="7"/>
      <c r="H9" s="7"/>
      <c r="I9" s="8"/>
      <c r="J9" s="6"/>
      <c r="K9" s="6"/>
      <c r="L9" s="6"/>
      <c r="M9" s="6"/>
      <c r="N9" s="6"/>
      <c r="P9" s="13" t="s">
        <v>301</v>
      </c>
      <c r="Q9" s="383">
        <f>P7+S7</f>
        <v>3005.5</v>
      </c>
      <c r="R9" s="91" t="s">
        <v>3</v>
      </c>
      <c r="T9" s="384"/>
      <c r="U9" s="385" t="s">
        <v>418</v>
      </c>
      <c r="V9" s="388">
        <f>TRUNC(W7*1.15,2)</f>
        <v>1189.18</v>
      </c>
      <c r="W9" s="389" t="s">
        <v>3</v>
      </c>
      <c r="X9" s="386"/>
      <c r="Y9" s="387"/>
      <c r="Z9" s="391" t="s">
        <v>527</v>
      </c>
      <c r="AA9" s="392">
        <f>TRUNC(AA7*1.15,2)</f>
        <v>1151.24</v>
      </c>
      <c r="AB9" s="384" t="s">
        <v>3</v>
      </c>
      <c r="AC9" s="9"/>
      <c r="AD9" s="10" t="s">
        <v>408</v>
      </c>
      <c r="AE9" s="390">
        <f>TRUNC(AC7*30,2)</f>
        <v>212.56</v>
      </c>
      <c r="AF9" s="15" t="s">
        <v>82</v>
      </c>
      <c r="AG9" s="9"/>
      <c r="AJ9" s="10" t="s">
        <v>22</v>
      </c>
      <c r="AK9" s="67">
        <f>TRUNC((0.1025*0.5912*AH7)+(0.0334*0.5912*AI7),2)</f>
        <v>82.75</v>
      </c>
      <c r="AL9" s="6" t="s">
        <v>3</v>
      </c>
    </row>
    <row r="10" spans="2:39" ht="20.100000000000001" customHeight="1" x14ac:dyDescent="0.2">
      <c r="B10" s="6" t="s">
        <v>542</v>
      </c>
      <c r="D10" s="6"/>
      <c r="E10" s="785"/>
      <c r="F10" s="785"/>
      <c r="G10" s="785"/>
      <c r="H10" s="785"/>
      <c r="I10" s="785"/>
      <c r="J10" s="785"/>
      <c r="K10" s="785"/>
      <c r="L10" s="785"/>
      <c r="M10" s="785"/>
      <c r="N10" s="785"/>
      <c r="O10" s="6"/>
      <c r="P10" s="13" t="s">
        <v>415</v>
      </c>
      <c r="Q10" s="390">
        <f>TRUNC(P7*1.3,2)</f>
        <v>227.59</v>
      </c>
      <c r="R10" s="15" t="s">
        <v>3</v>
      </c>
      <c r="T10" s="384"/>
      <c r="U10" s="391" t="s">
        <v>419</v>
      </c>
      <c r="V10" s="392">
        <f>TRUNC(W7*1.3*30,2)</f>
        <v>40328.9</v>
      </c>
      <c r="W10" s="387" t="s">
        <v>21</v>
      </c>
      <c r="X10" s="386"/>
      <c r="Y10" s="387"/>
      <c r="Z10" s="391" t="s">
        <v>412</v>
      </c>
      <c r="AA10" s="392">
        <f>TRUNC(AA7*1.3*DMT!F9,2)</f>
        <v>15877.18</v>
      </c>
      <c r="AB10" s="387" t="s">
        <v>21</v>
      </c>
      <c r="AC10" s="9"/>
      <c r="AD10" s="10" t="s">
        <v>410</v>
      </c>
      <c r="AE10" s="390">
        <f>TRUNC(AC7*(DMT!F8-30),2)</f>
        <v>1275.3599999999999</v>
      </c>
      <c r="AF10" s="15" t="s">
        <v>82</v>
      </c>
      <c r="AG10" s="9"/>
      <c r="AJ10" s="10" t="s">
        <v>24</v>
      </c>
      <c r="AK10" s="67">
        <f>0.033*0.579*AL7</f>
        <v>0</v>
      </c>
      <c r="AL10" s="6" t="s">
        <v>3</v>
      </c>
    </row>
    <row r="11" spans="2:39" ht="20.100000000000001" customHeight="1" x14ac:dyDescent="0.2">
      <c r="B11" s="3" t="s">
        <v>543</v>
      </c>
      <c r="L11" s="3"/>
      <c r="M11" s="3"/>
      <c r="O11" s="6"/>
      <c r="P11" s="13" t="s">
        <v>409</v>
      </c>
      <c r="Q11" s="9">
        <f>TRUNC(S7*1.15,2)</f>
        <v>3254.99</v>
      </c>
      <c r="R11" s="15" t="s">
        <v>3</v>
      </c>
      <c r="T11" s="393"/>
      <c r="U11" s="391" t="s">
        <v>420</v>
      </c>
      <c r="V11" s="392">
        <f>TRUNC((W7*1.3)*(DMT!F13-30),2)</f>
        <v>8469.07</v>
      </c>
      <c r="W11" s="387" t="s">
        <v>21</v>
      </c>
      <c r="X11" s="386"/>
      <c r="Y11" s="387"/>
      <c r="Z11" s="391" t="s">
        <v>414</v>
      </c>
      <c r="AA11" s="392">
        <v>0</v>
      </c>
      <c r="AB11" s="387" t="s">
        <v>21</v>
      </c>
      <c r="AC11" s="9"/>
      <c r="AG11" s="383"/>
      <c r="AJ11" s="10" t="s">
        <v>262</v>
      </c>
      <c r="AK11" s="67">
        <f>TRUNC((AK10+AK9)*DMT!F9,2)</f>
        <v>1009.55</v>
      </c>
      <c r="AL11" s="9" t="s">
        <v>21</v>
      </c>
    </row>
    <row r="12" spans="2:39" ht="20.100000000000001" customHeight="1" x14ac:dyDescent="0.2">
      <c r="B12" s="12"/>
      <c r="O12" s="6"/>
      <c r="P12" s="13" t="s">
        <v>411</v>
      </c>
      <c r="Q12" s="9">
        <f>TRUNC(S7*1.3*DMT!F12,2)</f>
        <v>44890.61</v>
      </c>
      <c r="R12" s="15" t="s">
        <v>21</v>
      </c>
      <c r="T12" s="384"/>
      <c r="U12" s="391" t="s">
        <v>421</v>
      </c>
      <c r="V12" s="394">
        <f>W7</f>
        <v>1034.0744999999999</v>
      </c>
      <c r="W12" s="389" t="s">
        <v>3</v>
      </c>
      <c r="X12" s="384"/>
      <c r="Y12" s="386"/>
      <c r="Z12" s="391" t="s">
        <v>416</v>
      </c>
      <c r="AA12" s="394">
        <f>AA7</f>
        <v>1001.0835</v>
      </c>
      <c r="AB12" s="389" t="s">
        <v>3</v>
      </c>
      <c r="AD12" s="10" t="s">
        <v>260</v>
      </c>
      <c r="AE12" s="67">
        <f>TRUNC(AG7*30,2)</f>
        <v>22627.14</v>
      </c>
      <c r="AF12" s="9" t="s">
        <v>82</v>
      </c>
      <c r="AJ12" s="10" t="s">
        <v>263</v>
      </c>
      <c r="AK12" s="67">
        <v>0</v>
      </c>
      <c r="AL12" s="9" t="s">
        <v>21</v>
      </c>
    </row>
    <row r="13" spans="2:39" ht="20.100000000000001" customHeight="1" x14ac:dyDescent="0.2">
      <c r="B13" s="12"/>
      <c r="P13" s="385" t="s">
        <v>413</v>
      </c>
      <c r="Q13" s="9">
        <f>TRUNC(S7*1.3,2)</f>
        <v>3679.55</v>
      </c>
      <c r="R13" s="15" t="s">
        <v>3</v>
      </c>
      <c r="T13" s="386"/>
      <c r="X13" s="386"/>
      <c r="Y13" s="386"/>
      <c r="AD13" s="10" t="s">
        <v>261</v>
      </c>
      <c r="AE13" s="67">
        <f>TRUNC(AG7*(DMT!F6-30),2)</f>
        <v>13877.98</v>
      </c>
      <c r="AF13" s="9" t="s">
        <v>82</v>
      </c>
      <c r="AJ13" s="13"/>
      <c r="AK13" s="390"/>
      <c r="AL13" s="15"/>
    </row>
    <row r="14" spans="2:39" ht="20.100000000000001" customHeight="1" x14ac:dyDescent="0.2">
      <c r="B14" s="12"/>
      <c r="P14" s="13" t="s">
        <v>415</v>
      </c>
      <c r="Q14" s="390">
        <f>TRUNC(R7*1.3,2)</f>
        <v>8161.75</v>
      </c>
      <c r="R14" s="15" t="s">
        <v>3</v>
      </c>
      <c r="T14" s="386"/>
      <c r="U14" s="386"/>
      <c r="V14" s="386"/>
      <c r="W14" s="386"/>
      <c r="X14" s="386"/>
      <c r="Y14" s="386"/>
      <c r="Z14" s="386"/>
      <c r="AA14" s="395"/>
      <c r="AB14" s="386"/>
      <c r="AJ14" s="13"/>
      <c r="AK14" s="390"/>
      <c r="AL14" s="9"/>
    </row>
    <row r="15" spans="2:39" ht="20.100000000000001" customHeight="1" x14ac:dyDescent="0.2">
      <c r="B15" s="12"/>
      <c r="P15" s="13" t="s">
        <v>288</v>
      </c>
      <c r="Q15" s="390">
        <f>Q7</f>
        <v>6453.34</v>
      </c>
      <c r="R15" s="15" t="s">
        <v>3</v>
      </c>
      <c r="S15" s="15"/>
      <c r="AA15" s="3"/>
      <c r="AJ15" s="13"/>
      <c r="AK15" s="390"/>
      <c r="AL15" s="9"/>
    </row>
    <row r="16" spans="2:39" ht="20.100000000000001" customHeight="1" x14ac:dyDescent="0.2">
      <c r="B16" s="12"/>
      <c r="S16" s="15"/>
      <c r="AA16" s="3"/>
      <c r="AJ16" s="13"/>
      <c r="AK16" s="390"/>
      <c r="AL16" s="9"/>
    </row>
    <row r="17" spans="2:38" ht="20.100000000000001" customHeight="1" x14ac:dyDescent="0.2">
      <c r="B17" s="12"/>
      <c r="S17" s="15"/>
      <c r="AA17" s="3"/>
      <c r="AJ17" s="13"/>
      <c r="AK17" s="390"/>
      <c r="AL17" s="9"/>
    </row>
    <row r="18" spans="2:38" ht="20.100000000000001" customHeight="1" x14ac:dyDescent="0.2">
      <c r="B18" s="12"/>
      <c r="P18" s="13"/>
      <c r="Q18" s="390"/>
      <c r="R18" s="15"/>
      <c r="S18" s="15"/>
      <c r="AA18" s="3"/>
      <c r="AJ18" s="13"/>
      <c r="AK18" s="390"/>
      <c r="AL18" s="9"/>
    </row>
    <row r="19" spans="2:38" ht="20.100000000000001" customHeight="1" x14ac:dyDescent="0.2">
      <c r="B19" s="12"/>
      <c r="P19" s="13"/>
      <c r="Q19" s="390"/>
      <c r="R19" s="15"/>
      <c r="S19" s="15"/>
      <c r="AA19" s="3"/>
      <c r="AJ19" s="13"/>
      <c r="AK19" s="390"/>
      <c r="AL19" s="9"/>
    </row>
    <row r="20" spans="2:38" ht="63.75" customHeight="1" x14ac:dyDescent="0.2">
      <c r="B20" s="12"/>
      <c r="N20" s="396"/>
      <c r="O20" s="396"/>
      <c r="P20" s="396"/>
      <c r="Q20" s="396"/>
      <c r="R20" s="396"/>
      <c r="S20" s="396"/>
    </row>
    <row r="21" spans="2:38" ht="20.100000000000001" customHeight="1" x14ac:dyDescent="0.2">
      <c r="B21" s="12"/>
      <c r="M21" s="397"/>
      <c r="O21" s="1" t="s">
        <v>477</v>
      </c>
      <c r="P21" s="1">
        <v>23.51</v>
      </c>
      <c r="Q21" s="3">
        <v>2548.83</v>
      </c>
      <c r="R21" s="3"/>
      <c r="S21" s="1">
        <v>1179.47</v>
      </c>
      <c r="AA21" s="3"/>
      <c r="AK21" s="11"/>
    </row>
    <row r="22" spans="2:38" ht="20.100000000000001" customHeight="1" x14ac:dyDescent="0.2">
      <c r="B22" s="14"/>
      <c r="O22" s="1" t="s">
        <v>478</v>
      </c>
      <c r="P22" s="1">
        <v>51.88</v>
      </c>
      <c r="Q22" s="3">
        <v>3379.63</v>
      </c>
      <c r="R22" s="3"/>
      <c r="S22" s="1">
        <v>1259.3499999999999</v>
      </c>
      <c r="Z22" s="3"/>
    </row>
    <row r="23" spans="2:38" ht="20.100000000000001" customHeight="1" x14ac:dyDescent="0.2">
      <c r="O23" s="1" t="s">
        <v>479</v>
      </c>
      <c r="P23" s="1">
        <v>87.48</v>
      </c>
      <c r="Q23" s="1">
        <v>136.82</v>
      </c>
      <c r="S23" s="1">
        <v>185.77</v>
      </c>
      <c r="Z23" s="3"/>
    </row>
    <row r="24" spans="2:38" ht="20.100000000000001" customHeight="1" x14ac:dyDescent="0.2">
      <c r="M24" s="11"/>
      <c r="O24" s="1" t="s">
        <v>480</v>
      </c>
      <c r="P24" s="398">
        <v>12.2</v>
      </c>
      <c r="Q24" s="398">
        <v>388.06</v>
      </c>
      <c r="R24" s="398"/>
      <c r="S24" s="398">
        <v>205.84</v>
      </c>
      <c r="T24" s="398"/>
      <c r="U24" s="398"/>
      <c r="V24" s="398"/>
      <c r="W24" s="398"/>
      <c r="X24" s="398"/>
      <c r="AE24" s="3"/>
    </row>
  </sheetData>
  <mergeCells count="39">
    <mergeCell ref="AH4:AH5"/>
    <mergeCell ref="AI4:AI5"/>
    <mergeCell ref="AJ4:AJ5"/>
    <mergeCell ref="AK4:AK5"/>
    <mergeCell ref="AL4:AL5"/>
    <mergeCell ref="E10:N10"/>
    <mergeCell ref="Y4:Y5"/>
    <mergeCell ref="Z4:Z5"/>
    <mergeCell ref="AA4:AA5"/>
    <mergeCell ref="AB4:AB5"/>
    <mergeCell ref="S4:S5"/>
    <mergeCell ref="N4:N5"/>
    <mergeCell ref="O4:O5"/>
    <mergeCell ref="P4:P5"/>
    <mergeCell ref="Q4:Q5"/>
    <mergeCell ref="AD4:AG4"/>
    <mergeCell ref="R4:R5"/>
    <mergeCell ref="T4:T5"/>
    <mergeCell ref="U4:U5"/>
    <mergeCell ref="V4:V5"/>
    <mergeCell ref="W4:W5"/>
    <mergeCell ref="X4:X5"/>
    <mergeCell ref="AC4:AC5"/>
    <mergeCell ref="B2:AL2"/>
    <mergeCell ref="C3:H3"/>
    <mergeCell ref="I3:I5"/>
    <mergeCell ref="J3:J5"/>
    <mergeCell ref="K3:K5"/>
    <mergeCell ref="L3:L5"/>
    <mergeCell ref="M3:M5"/>
    <mergeCell ref="N3:O3"/>
    <mergeCell ref="P3:S3"/>
    <mergeCell ref="T3:W3"/>
    <mergeCell ref="X3:AA3"/>
    <mergeCell ref="AB3:AG3"/>
    <mergeCell ref="AH3:AL3"/>
    <mergeCell ref="B4:B5"/>
    <mergeCell ref="C4:E5"/>
    <mergeCell ref="F4:H5"/>
  </mergeCells>
  <phoneticPr fontId="68" type="noConversion"/>
  <dataValidations disablePrompts="1" count="1">
    <dataValidation type="list" allowBlank="1" showInputMessage="1" showErrorMessage="1" sqref="WWL983035:WWL983041 WCT983035:WCT983041 VSX983035:VSX983041 VJB983035:VJB983041 UZF983035:UZF983041 UPJ983035:UPJ983041 UFN983035:UFN983041 TVR983035:TVR983041 TLV983035:TLV983041 TBZ983035:TBZ983041 SSD983035:SSD983041 SIH983035:SIH983041 RYL983035:RYL983041 ROP983035:ROP983041 RET983035:RET983041 QUX983035:QUX983041 QLB983035:QLB983041 QBF983035:QBF983041 PRJ983035:PRJ983041 PHN983035:PHN983041 OXR983035:OXR983041 ONV983035:ONV983041 ODZ983035:ODZ983041 NUD983035:NUD983041 NKH983035:NKH983041 NAL983035:NAL983041 MQP983035:MQP983041 MGT983035:MGT983041 LWX983035:LWX983041 LNB983035:LNB983041 LDF983035:LDF983041 KTJ983035:KTJ983041 KJN983035:KJN983041 JZR983035:JZR983041 JPV983035:JPV983041 JFZ983035:JFZ983041 IWD983035:IWD983041 IMH983035:IMH983041 ICL983035:ICL983041 HSP983035:HSP983041 HIT983035:HIT983041 GYX983035:GYX983041 GPB983035:GPB983041 GFF983035:GFF983041 FVJ983035:FVJ983041 FLN983035:FLN983041 FBR983035:FBR983041 ERV983035:ERV983041 EHZ983035:EHZ983041 DYD983035:DYD983041 DOH983035:DOH983041 DEL983035:DEL983041 CUP983035:CUP983041 CKT983035:CKT983041 CAX983035:CAX983041 BRB983035:BRB983041 BHF983035:BHF983041 AXJ983035:AXJ983041 ANN983035:ANN983041 ADR983035:ADR983041 TV983035:TV983041 JZ983035:JZ983041 WWL917499:WWL917505 WMP917499:WMP917505 WCT917499:WCT917505 VSX917499:VSX917505 VJB917499:VJB917505 UZF917499:UZF917505 UPJ917499:UPJ917505 UFN917499:UFN917505 TVR917499:TVR917505 TLV917499:TLV917505 TBZ917499:TBZ917505 SSD917499:SSD917505 SIH917499:SIH917505 RYL917499:RYL917505 ROP917499:ROP917505 RET917499:RET917505 QUX917499:QUX917505 QLB917499:QLB917505 QBF917499:QBF917505 PRJ917499:PRJ917505 PHN917499:PHN917505 OXR917499:OXR917505 ONV917499:ONV917505 ODZ917499:ODZ917505 NUD917499:NUD917505 NKH917499:NKH917505 NAL917499:NAL917505 MQP917499:MQP917505 MGT917499:MGT917505 LWX917499:LWX917505 LNB917499:LNB917505 LDF917499:LDF917505 KTJ917499:KTJ917505 KJN917499:KJN917505 JZR917499:JZR917505 JPV917499:JPV917505 JFZ917499:JFZ917505 IWD917499:IWD917505 IMH917499:IMH917505 ICL917499:ICL917505 HSP917499:HSP917505 HIT917499:HIT917505 GYX917499:GYX917505 GPB917499:GPB917505 GFF917499:GFF917505 FVJ917499:FVJ917505 FLN917499:FLN917505 FBR917499:FBR917505 ERV917499:ERV917505 EHZ917499:EHZ917505 DYD917499:DYD917505 DOH917499:DOH917505 DEL917499:DEL917505 CUP917499:CUP917505 CKT917499:CKT917505 CAX917499:CAX917505 BRB917499:BRB917505 BHF917499:BHF917505 AXJ917499:AXJ917505 ANN917499:ANN917505 ADR917499:ADR917505 TV917499:TV917505 JZ917499:JZ917505 WWL851963:WWL851969 WMP851963:WMP851969 WCT851963:WCT851969 VSX851963:VSX851969 VJB851963:VJB851969 UZF851963:UZF851969 UPJ851963:UPJ851969 UFN851963:UFN851969 TVR851963:TVR851969 TLV851963:TLV851969 TBZ851963:TBZ851969 SSD851963:SSD851969 SIH851963:SIH851969 RYL851963:RYL851969 ROP851963:ROP851969 RET851963:RET851969 QUX851963:QUX851969 QLB851963:QLB851969 QBF851963:QBF851969 PRJ851963:PRJ851969 PHN851963:PHN851969 OXR851963:OXR851969 ONV851963:ONV851969 ODZ851963:ODZ851969 NUD851963:NUD851969 NKH851963:NKH851969 NAL851963:NAL851969 MQP851963:MQP851969 MGT851963:MGT851969 LWX851963:LWX851969 LNB851963:LNB851969 LDF851963:LDF851969 KTJ851963:KTJ851969 KJN851963:KJN851969 JZR851963:JZR851969 JPV851963:JPV851969 JFZ851963:JFZ851969 IWD851963:IWD851969 IMH851963:IMH851969 ICL851963:ICL851969 HSP851963:HSP851969 HIT851963:HIT851969 GYX851963:GYX851969 GPB851963:GPB851969 GFF851963:GFF851969 FVJ851963:FVJ851969 FLN851963:FLN851969 FBR851963:FBR851969 ERV851963:ERV851969 EHZ851963:EHZ851969 DYD851963:DYD851969 DOH851963:DOH851969 DEL851963:DEL851969 CUP851963:CUP851969 CKT851963:CKT851969 CAX851963:CAX851969 BRB851963:BRB851969 BHF851963:BHF851969 AXJ851963:AXJ851969 ANN851963:ANN851969 ADR851963:ADR851969 TV851963:TV851969 JZ851963:JZ851969 WWL786427:WWL786433 WMP786427:WMP786433 WCT786427:WCT786433 VSX786427:VSX786433 VJB786427:VJB786433 UZF786427:UZF786433 UPJ786427:UPJ786433 UFN786427:UFN786433 TVR786427:TVR786433 TLV786427:TLV786433 TBZ786427:TBZ786433 SSD786427:SSD786433 SIH786427:SIH786433 RYL786427:RYL786433 ROP786427:ROP786433 RET786427:RET786433 QUX786427:QUX786433 QLB786427:QLB786433 QBF786427:QBF786433 PRJ786427:PRJ786433 PHN786427:PHN786433 OXR786427:OXR786433 ONV786427:ONV786433 ODZ786427:ODZ786433 NUD786427:NUD786433 NKH786427:NKH786433 NAL786427:NAL786433 MQP786427:MQP786433 MGT786427:MGT786433 LWX786427:LWX786433 LNB786427:LNB786433 LDF786427:LDF786433 KTJ786427:KTJ786433 KJN786427:KJN786433 JZR786427:JZR786433 JPV786427:JPV786433 JFZ786427:JFZ786433 IWD786427:IWD786433 IMH786427:IMH786433 ICL786427:ICL786433 HSP786427:HSP786433 HIT786427:HIT786433 GYX786427:GYX786433 GPB786427:GPB786433 GFF786427:GFF786433 FVJ786427:FVJ786433 FLN786427:FLN786433 FBR786427:FBR786433 ERV786427:ERV786433 EHZ786427:EHZ786433 DYD786427:DYD786433 DOH786427:DOH786433 DEL786427:DEL786433 CUP786427:CUP786433 CKT786427:CKT786433 CAX786427:CAX786433 BRB786427:BRB786433 BHF786427:BHF786433 AXJ786427:AXJ786433 ANN786427:ANN786433 ADR786427:ADR786433 TV786427:TV786433 JZ786427:JZ786433 WWL720891:WWL720897 WMP720891:WMP720897 WCT720891:WCT720897 VSX720891:VSX720897 VJB720891:VJB720897 UZF720891:UZF720897 UPJ720891:UPJ720897 UFN720891:UFN720897 TVR720891:TVR720897 TLV720891:TLV720897 TBZ720891:TBZ720897 SSD720891:SSD720897 SIH720891:SIH720897 RYL720891:RYL720897 ROP720891:ROP720897 RET720891:RET720897 QUX720891:QUX720897 QLB720891:QLB720897 QBF720891:QBF720897 PRJ720891:PRJ720897 PHN720891:PHN720897 OXR720891:OXR720897 ONV720891:ONV720897 ODZ720891:ODZ720897 NUD720891:NUD720897 NKH720891:NKH720897 NAL720891:NAL720897 MQP720891:MQP720897 MGT720891:MGT720897 LWX720891:LWX720897 LNB720891:LNB720897 LDF720891:LDF720897 KTJ720891:KTJ720897 KJN720891:KJN720897 JZR720891:JZR720897 JPV720891:JPV720897 JFZ720891:JFZ720897 IWD720891:IWD720897 IMH720891:IMH720897 ICL720891:ICL720897 HSP720891:HSP720897 HIT720891:HIT720897 GYX720891:GYX720897 GPB720891:GPB720897 GFF720891:GFF720897 FVJ720891:FVJ720897 FLN720891:FLN720897 FBR720891:FBR720897 ERV720891:ERV720897 EHZ720891:EHZ720897 DYD720891:DYD720897 DOH720891:DOH720897 DEL720891:DEL720897 CUP720891:CUP720897 CKT720891:CKT720897 CAX720891:CAX720897 BRB720891:BRB720897 BHF720891:BHF720897 AXJ720891:AXJ720897 ANN720891:ANN720897 ADR720891:ADR720897 TV720891:TV720897 JZ720891:JZ720897 WWL655355:WWL655361 WMP655355:WMP655361 WCT655355:WCT655361 VSX655355:VSX655361 VJB655355:VJB655361 UZF655355:UZF655361 UPJ655355:UPJ655361 UFN655355:UFN655361 TVR655355:TVR655361 TLV655355:TLV655361 TBZ655355:TBZ655361 SSD655355:SSD655361 SIH655355:SIH655361 RYL655355:RYL655361 ROP655355:ROP655361 RET655355:RET655361 QUX655355:QUX655361 QLB655355:QLB655361 QBF655355:QBF655361 PRJ655355:PRJ655361 PHN655355:PHN655361 OXR655355:OXR655361 ONV655355:ONV655361 ODZ655355:ODZ655361 NUD655355:NUD655361 NKH655355:NKH655361 NAL655355:NAL655361 MQP655355:MQP655361 MGT655355:MGT655361 LWX655355:LWX655361 LNB655355:LNB655361 LDF655355:LDF655361 KTJ655355:KTJ655361 KJN655355:KJN655361 JZR655355:JZR655361 JPV655355:JPV655361 JFZ655355:JFZ655361 IWD655355:IWD655361 IMH655355:IMH655361 ICL655355:ICL655361 HSP655355:HSP655361 HIT655355:HIT655361 GYX655355:GYX655361 GPB655355:GPB655361 GFF655355:GFF655361 FVJ655355:FVJ655361 FLN655355:FLN655361 FBR655355:FBR655361 ERV655355:ERV655361 EHZ655355:EHZ655361 DYD655355:DYD655361 DOH655355:DOH655361 DEL655355:DEL655361 CUP655355:CUP655361 CKT655355:CKT655361 CAX655355:CAX655361 BRB655355:BRB655361 BHF655355:BHF655361 AXJ655355:AXJ655361 ANN655355:ANN655361 ADR655355:ADR655361 TV655355:TV655361 JZ655355:JZ655361 WWL589819:WWL589825 WMP589819:WMP589825 WCT589819:WCT589825 VSX589819:VSX589825 VJB589819:VJB589825 UZF589819:UZF589825 UPJ589819:UPJ589825 UFN589819:UFN589825 TVR589819:TVR589825 TLV589819:TLV589825 TBZ589819:TBZ589825 SSD589819:SSD589825 SIH589819:SIH589825 RYL589819:RYL589825 ROP589819:ROP589825 RET589819:RET589825 QUX589819:QUX589825 QLB589819:QLB589825 QBF589819:QBF589825 PRJ589819:PRJ589825 PHN589819:PHN589825 OXR589819:OXR589825 ONV589819:ONV589825 ODZ589819:ODZ589825 NUD589819:NUD589825 NKH589819:NKH589825 NAL589819:NAL589825 MQP589819:MQP589825 MGT589819:MGT589825 LWX589819:LWX589825 LNB589819:LNB589825 LDF589819:LDF589825 KTJ589819:KTJ589825 KJN589819:KJN589825 JZR589819:JZR589825 JPV589819:JPV589825 JFZ589819:JFZ589825 IWD589819:IWD589825 IMH589819:IMH589825 ICL589819:ICL589825 HSP589819:HSP589825 HIT589819:HIT589825 GYX589819:GYX589825 GPB589819:GPB589825 GFF589819:GFF589825 FVJ589819:FVJ589825 FLN589819:FLN589825 FBR589819:FBR589825 ERV589819:ERV589825 EHZ589819:EHZ589825 DYD589819:DYD589825 DOH589819:DOH589825 DEL589819:DEL589825 CUP589819:CUP589825 CKT589819:CKT589825 CAX589819:CAX589825 BRB589819:BRB589825 BHF589819:BHF589825 AXJ589819:AXJ589825 ANN589819:ANN589825 ADR589819:ADR589825 TV589819:TV589825 JZ589819:JZ589825 WWL524283:WWL524289 WMP524283:WMP524289 WCT524283:WCT524289 VSX524283:VSX524289 VJB524283:VJB524289 UZF524283:UZF524289 UPJ524283:UPJ524289 UFN524283:UFN524289 TVR524283:TVR524289 TLV524283:TLV524289 TBZ524283:TBZ524289 SSD524283:SSD524289 SIH524283:SIH524289 RYL524283:RYL524289 ROP524283:ROP524289 RET524283:RET524289 QUX524283:QUX524289 QLB524283:QLB524289 QBF524283:QBF524289 PRJ524283:PRJ524289 PHN524283:PHN524289 OXR524283:OXR524289 ONV524283:ONV524289 ODZ524283:ODZ524289 NUD524283:NUD524289 NKH524283:NKH524289 NAL524283:NAL524289 MQP524283:MQP524289 MGT524283:MGT524289 LWX524283:LWX524289 LNB524283:LNB524289 LDF524283:LDF524289 KTJ524283:KTJ524289 KJN524283:KJN524289 JZR524283:JZR524289 JPV524283:JPV524289 JFZ524283:JFZ524289 IWD524283:IWD524289 IMH524283:IMH524289 ICL524283:ICL524289 HSP524283:HSP524289 HIT524283:HIT524289 GYX524283:GYX524289 GPB524283:GPB524289 GFF524283:GFF524289 FVJ524283:FVJ524289 FLN524283:FLN524289 FBR524283:FBR524289 ERV524283:ERV524289 EHZ524283:EHZ524289 DYD524283:DYD524289 DOH524283:DOH524289 DEL524283:DEL524289 CUP524283:CUP524289 CKT524283:CKT524289 CAX524283:CAX524289 BRB524283:BRB524289 BHF524283:BHF524289 AXJ524283:AXJ524289 ANN524283:ANN524289 ADR524283:ADR524289 TV524283:TV524289 JZ524283:JZ524289 WWL458747:WWL458753 WMP458747:WMP458753 WCT458747:WCT458753 VSX458747:VSX458753 VJB458747:VJB458753 UZF458747:UZF458753 UPJ458747:UPJ458753 UFN458747:UFN458753 TVR458747:TVR458753 TLV458747:TLV458753 TBZ458747:TBZ458753 SSD458747:SSD458753 SIH458747:SIH458753 RYL458747:RYL458753 ROP458747:ROP458753 RET458747:RET458753 QUX458747:QUX458753 QLB458747:QLB458753 QBF458747:QBF458753 PRJ458747:PRJ458753 PHN458747:PHN458753 OXR458747:OXR458753 ONV458747:ONV458753 ODZ458747:ODZ458753 NUD458747:NUD458753 NKH458747:NKH458753 NAL458747:NAL458753 MQP458747:MQP458753 MGT458747:MGT458753 LWX458747:LWX458753 LNB458747:LNB458753 LDF458747:LDF458753 KTJ458747:KTJ458753 KJN458747:KJN458753 JZR458747:JZR458753 JPV458747:JPV458753 JFZ458747:JFZ458753 IWD458747:IWD458753 IMH458747:IMH458753 ICL458747:ICL458753 HSP458747:HSP458753 HIT458747:HIT458753 GYX458747:GYX458753 GPB458747:GPB458753 GFF458747:GFF458753 FVJ458747:FVJ458753 FLN458747:FLN458753 FBR458747:FBR458753 ERV458747:ERV458753 EHZ458747:EHZ458753 DYD458747:DYD458753 DOH458747:DOH458753 DEL458747:DEL458753 CUP458747:CUP458753 CKT458747:CKT458753 CAX458747:CAX458753 BRB458747:BRB458753 BHF458747:BHF458753 AXJ458747:AXJ458753 ANN458747:ANN458753 ADR458747:ADR458753 TV458747:TV458753 JZ458747:JZ458753 WWL393211:WWL393217 WMP393211:WMP393217 WCT393211:WCT393217 VSX393211:VSX393217 VJB393211:VJB393217 UZF393211:UZF393217 UPJ393211:UPJ393217 UFN393211:UFN393217 TVR393211:TVR393217 TLV393211:TLV393217 TBZ393211:TBZ393217 SSD393211:SSD393217 SIH393211:SIH393217 RYL393211:RYL393217 ROP393211:ROP393217 RET393211:RET393217 QUX393211:QUX393217 QLB393211:QLB393217 QBF393211:QBF393217 PRJ393211:PRJ393217 PHN393211:PHN393217 OXR393211:OXR393217 ONV393211:ONV393217 ODZ393211:ODZ393217 NUD393211:NUD393217 NKH393211:NKH393217 NAL393211:NAL393217 MQP393211:MQP393217 MGT393211:MGT393217 LWX393211:LWX393217 LNB393211:LNB393217 LDF393211:LDF393217 KTJ393211:KTJ393217 KJN393211:KJN393217 JZR393211:JZR393217 JPV393211:JPV393217 JFZ393211:JFZ393217 IWD393211:IWD393217 IMH393211:IMH393217 ICL393211:ICL393217 HSP393211:HSP393217 HIT393211:HIT393217 GYX393211:GYX393217 GPB393211:GPB393217 GFF393211:GFF393217 FVJ393211:FVJ393217 FLN393211:FLN393217 FBR393211:FBR393217 ERV393211:ERV393217 EHZ393211:EHZ393217 DYD393211:DYD393217 DOH393211:DOH393217 DEL393211:DEL393217 CUP393211:CUP393217 CKT393211:CKT393217 CAX393211:CAX393217 BRB393211:BRB393217 BHF393211:BHF393217 AXJ393211:AXJ393217 ANN393211:ANN393217 ADR393211:ADR393217 TV393211:TV393217 JZ393211:JZ393217 WWL327675:WWL327681 WMP327675:WMP327681 WCT327675:WCT327681 VSX327675:VSX327681 VJB327675:VJB327681 UZF327675:UZF327681 UPJ327675:UPJ327681 UFN327675:UFN327681 TVR327675:TVR327681 TLV327675:TLV327681 TBZ327675:TBZ327681 SSD327675:SSD327681 SIH327675:SIH327681 RYL327675:RYL327681 ROP327675:ROP327681 RET327675:RET327681 QUX327675:QUX327681 QLB327675:QLB327681 QBF327675:QBF327681 PRJ327675:PRJ327681 PHN327675:PHN327681 OXR327675:OXR327681 ONV327675:ONV327681 ODZ327675:ODZ327681 NUD327675:NUD327681 NKH327675:NKH327681 NAL327675:NAL327681 MQP327675:MQP327681 MGT327675:MGT327681 LWX327675:LWX327681 LNB327675:LNB327681 LDF327675:LDF327681 KTJ327675:KTJ327681 KJN327675:KJN327681 JZR327675:JZR327681 JPV327675:JPV327681 JFZ327675:JFZ327681 IWD327675:IWD327681 IMH327675:IMH327681 ICL327675:ICL327681 HSP327675:HSP327681 HIT327675:HIT327681 GYX327675:GYX327681 GPB327675:GPB327681 GFF327675:GFF327681 FVJ327675:FVJ327681 FLN327675:FLN327681 FBR327675:FBR327681 ERV327675:ERV327681 EHZ327675:EHZ327681 DYD327675:DYD327681 DOH327675:DOH327681 DEL327675:DEL327681 CUP327675:CUP327681 CKT327675:CKT327681 CAX327675:CAX327681 BRB327675:BRB327681 BHF327675:BHF327681 AXJ327675:AXJ327681 ANN327675:ANN327681 ADR327675:ADR327681 TV327675:TV327681 JZ327675:JZ327681 WWL262139:WWL262145 WMP262139:WMP262145 WCT262139:WCT262145 VSX262139:VSX262145 VJB262139:VJB262145 UZF262139:UZF262145 UPJ262139:UPJ262145 UFN262139:UFN262145 TVR262139:TVR262145 TLV262139:TLV262145 TBZ262139:TBZ262145 SSD262139:SSD262145 SIH262139:SIH262145 RYL262139:RYL262145 ROP262139:ROP262145 RET262139:RET262145 QUX262139:QUX262145 QLB262139:QLB262145 QBF262139:QBF262145 PRJ262139:PRJ262145 PHN262139:PHN262145 OXR262139:OXR262145 ONV262139:ONV262145 ODZ262139:ODZ262145 NUD262139:NUD262145 NKH262139:NKH262145 NAL262139:NAL262145 MQP262139:MQP262145 MGT262139:MGT262145 LWX262139:LWX262145 LNB262139:LNB262145 LDF262139:LDF262145 KTJ262139:KTJ262145 KJN262139:KJN262145 JZR262139:JZR262145 JPV262139:JPV262145 JFZ262139:JFZ262145 IWD262139:IWD262145 IMH262139:IMH262145 ICL262139:ICL262145 HSP262139:HSP262145 HIT262139:HIT262145 GYX262139:GYX262145 GPB262139:GPB262145 GFF262139:GFF262145 FVJ262139:FVJ262145 FLN262139:FLN262145 FBR262139:FBR262145 ERV262139:ERV262145 EHZ262139:EHZ262145 DYD262139:DYD262145 DOH262139:DOH262145 DEL262139:DEL262145 CUP262139:CUP262145 CKT262139:CKT262145 CAX262139:CAX262145 BRB262139:BRB262145 BHF262139:BHF262145 AXJ262139:AXJ262145 ANN262139:ANN262145 ADR262139:ADR262145 TV262139:TV262145 JZ262139:JZ262145 WWL196603:WWL196609 WMP196603:WMP196609 WCT196603:WCT196609 VSX196603:VSX196609 VJB196603:VJB196609 UZF196603:UZF196609 UPJ196603:UPJ196609 UFN196603:UFN196609 TVR196603:TVR196609 TLV196603:TLV196609 TBZ196603:TBZ196609 SSD196603:SSD196609 SIH196603:SIH196609 RYL196603:RYL196609 ROP196603:ROP196609 RET196603:RET196609 QUX196603:QUX196609 QLB196603:QLB196609 QBF196603:QBF196609 PRJ196603:PRJ196609 PHN196603:PHN196609 OXR196603:OXR196609 ONV196603:ONV196609 ODZ196603:ODZ196609 NUD196603:NUD196609 NKH196603:NKH196609 NAL196603:NAL196609 MQP196603:MQP196609 MGT196603:MGT196609 LWX196603:LWX196609 LNB196603:LNB196609 LDF196603:LDF196609 KTJ196603:KTJ196609 KJN196603:KJN196609 JZR196603:JZR196609 JPV196603:JPV196609 JFZ196603:JFZ196609 IWD196603:IWD196609 IMH196603:IMH196609 ICL196603:ICL196609 HSP196603:HSP196609 HIT196603:HIT196609 GYX196603:GYX196609 GPB196603:GPB196609 GFF196603:GFF196609 FVJ196603:FVJ196609 FLN196603:FLN196609 FBR196603:FBR196609 ERV196603:ERV196609 EHZ196603:EHZ196609 DYD196603:DYD196609 DOH196603:DOH196609 DEL196603:DEL196609 CUP196603:CUP196609 CKT196603:CKT196609 CAX196603:CAX196609 BRB196603:BRB196609 BHF196603:BHF196609 AXJ196603:AXJ196609 ANN196603:ANN196609 ADR196603:ADR196609 TV196603:TV196609 JZ196603:JZ196609 WWL131067:WWL131073 WMP131067:WMP131073 WCT131067:WCT131073 VSX131067:VSX131073 VJB131067:VJB131073 UZF131067:UZF131073 UPJ131067:UPJ131073 UFN131067:UFN131073 TVR131067:TVR131073 TLV131067:TLV131073 TBZ131067:TBZ131073 SSD131067:SSD131073 SIH131067:SIH131073 RYL131067:RYL131073 ROP131067:ROP131073 RET131067:RET131073 QUX131067:QUX131073 QLB131067:QLB131073 QBF131067:QBF131073 PRJ131067:PRJ131073 PHN131067:PHN131073 OXR131067:OXR131073 ONV131067:ONV131073 ODZ131067:ODZ131073 NUD131067:NUD131073 NKH131067:NKH131073 NAL131067:NAL131073 MQP131067:MQP131073 MGT131067:MGT131073 LWX131067:LWX131073 LNB131067:LNB131073 LDF131067:LDF131073 KTJ131067:KTJ131073 KJN131067:KJN131073 JZR131067:JZR131073 JPV131067:JPV131073 JFZ131067:JFZ131073 IWD131067:IWD131073 IMH131067:IMH131073 ICL131067:ICL131073 HSP131067:HSP131073 HIT131067:HIT131073 GYX131067:GYX131073 GPB131067:GPB131073 GFF131067:GFF131073 FVJ131067:FVJ131073 FLN131067:FLN131073 FBR131067:FBR131073 ERV131067:ERV131073 EHZ131067:EHZ131073 DYD131067:DYD131073 DOH131067:DOH131073 DEL131067:DEL131073 CUP131067:CUP131073 CKT131067:CKT131073 CAX131067:CAX131073 BRB131067:BRB131073 BHF131067:BHF131073 AXJ131067:AXJ131073 ANN131067:ANN131073 ADR131067:ADR131073 TV131067:TV131073 JZ131067:JZ131073 WWL65531:WWL65537 WMP65531:WMP65537 WCT65531:WCT65537 VSX65531:VSX65537 VJB65531:VJB65537 UZF65531:UZF65537 UPJ65531:UPJ65537 UFN65531:UFN65537 TVR65531:TVR65537 TLV65531:TLV65537 TBZ65531:TBZ65537 SSD65531:SSD65537 SIH65531:SIH65537 RYL65531:RYL65537 ROP65531:ROP65537 RET65531:RET65537 QUX65531:QUX65537 QLB65531:QLB65537 QBF65531:QBF65537 PRJ65531:PRJ65537 PHN65531:PHN65537 OXR65531:OXR65537 ONV65531:ONV65537 ODZ65531:ODZ65537 NUD65531:NUD65537 NKH65531:NKH65537 NAL65531:NAL65537 MQP65531:MQP65537 MGT65531:MGT65537 LWX65531:LWX65537 LNB65531:LNB65537 LDF65531:LDF65537 KTJ65531:KTJ65537 KJN65531:KJN65537 JZR65531:JZR65537 JPV65531:JPV65537 JFZ65531:JFZ65537 IWD65531:IWD65537 IMH65531:IMH65537 ICL65531:ICL65537 HSP65531:HSP65537 HIT65531:HIT65537 GYX65531:GYX65537 GPB65531:GPB65537 GFF65531:GFF65537 FVJ65531:FVJ65537 FLN65531:FLN65537 FBR65531:FBR65537 ERV65531:ERV65537 EHZ65531:EHZ65537 DYD65531:DYD65537 DOH65531:DOH65537 DEL65531:DEL65537 CUP65531:CUP65537 CKT65531:CKT65537 CAX65531:CAX65537 BRB65531:BRB65537 BHF65531:BHF65537 AXJ65531:AXJ65537 ANN65531:ANN65537 ADR65531:ADR65537 TV65531:TV65537 JZ65531:JZ65537 WMP983035:WMP983041 WWT983035:WWT983041 KH65531:KH65537 UD65531:UD65537 ADZ65531:ADZ65537 ANV65531:ANV65537 AXR65531:AXR65537 BHN65531:BHN65537 BRJ65531:BRJ65537 CBF65531:CBF65537 CLB65531:CLB65537 CUX65531:CUX65537 DET65531:DET65537 DOP65531:DOP65537 DYL65531:DYL65537 EIH65531:EIH65537 ESD65531:ESD65537 FBZ65531:FBZ65537 FLV65531:FLV65537 FVR65531:FVR65537 GFN65531:GFN65537 GPJ65531:GPJ65537 GZF65531:GZF65537 HJB65531:HJB65537 HSX65531:HSX65537 ICT65531:ICT65537 IMP65531:IMP65537 IWL65531:IWL65537 JGH65531:JGH65537 JQD65531:JQD65537 JZZ65531:JZZ65537 KJV65531:KJV65537 KTR65531:KTR65537 LDN65531:LDN65537 LNJ65531:LNJ65537 LXF65531:LXF65537 MHB65531:MHB65537 MQX65531:MQX65537 NAT65531:NAT65537 NKP65531:NKP65537 NUL65531:NUL65537 OEH65531:OEH65537 OOD65531:OOD65537 OXZ65531:OXZ65537 PHV65531:PHV65537 PRR65531:PRR65537 QBN65531:QBN65537 QLJ65531:QLJ65537 QVF65531:QVF65537 RFB65531:RFB65537 ROX65531:ROX65537 RYT65531:RYT65537 SIP65531:SIP65537 SSL65531:SSL65537 TCH65531:TCH65537 TMD65531:TMD65537 TVZ65531:TVZ65537 UFV65531:UFV65537 UPR65531:UPR65537 UZN65531:UZN65537 VJJ65531:VJJ65537 VTF65531:VTF65537 WDB65531:WDB65537 WMX65531:WMX65537 WWT65531:WWT65537 KH131067:KH131073 UD131067:UD131073 ADZ131067:ADZ131073 ANV131067:ANV131073 AXR131067:AXR131073 BHN131067:BHN131073 BRJ131067:BRJ131073 CBF131067:CBF131073 CLB131067:CLB131073 CUX131067:CUX131073 DET131067:DET131073 DOP131067:DOP131073 DYL131067:DYL131073 EIH131067:EIH131073 ESD131067:ESD131073 FBZ131067:FBZ131073 FLV131067:FLV131073 FVR131067:FVR131073 GFN131067:GFN131073 GPJ131067:GPJ131073 GZF131067:GZF131073 HJB131067:HJB131073 HSX131067:HSX131073 ICT131067:ICT131073 IMP131067:IMP131073 IWL131067:IWL131073 JGH131067:JGH131073 JQD131067:JQD131073 JZZ131067:JZZ131073 KJV131067:KJV131073 KTR131067:KTR131073 LDN131067:LDN131073 LNJ131067:LNJ131073 LXF131067:LXF131073 MHB131067:MHB131073 MQX131067:MQX131073 NAT131067:NAT131073 NKP131067:NKP131073 NUL131067:NUL131073 OEH131067:OEH131073 OOD131067:OOD131073 OXZ131067:OXZ131073 PHV131067:PHV131073 PRR131067:PRR131073 QBN131067:QBN131073 QLJ131067:QLJ131073 QVF131067:QVF131073 RFB131067:RFB131073 ROX131067:ROX131073 RYT131067:RYT131073 SIP131067:SIP131073 SSL131067:SSL131073 TCH131067:TCH131073 TMD131067:TMD131073 TVZ131067:TVZ131073 UFV131067:UFV131073 UPR131067:UPR131073 UZN131067:UZN131073 VJJ131067:VJJ131073 VTF131067:VTF131073 WDB131067:WDB131073 WMX131067:WMX131073 WWT131067:WWT131073 KH196603:KH196609 UD196603:UD196609 ADZ196603:ADZ196609 ANV196603:ANV196609 AXR196603:AXR196609 BHN196603:BHN196609 BRJ196603:BRJ196609 CBF196603:CBF196609 CLB196603:CLB196609 CUX196603:CUX196609 DET196603:DET196609 DOP196603:DOP196609 DYL196603:DYL196609 EIH196603:EIH196609 ESD196603:ESD196609 FBZ196603:FBZ196609 FLV196603:FLV196609 FVR196603:FVR196609 GFN196603:GFN196609 GPJ196603:GPJ196609 GZF196603:GZF196609 HJB196603:HJB196609 HSX196603:HSX196609 ICT196603:ICT196609 IMP196603:IMP196609 IWL196603:IWL196609 JGH196603:JGH196609 JQD196603:JQD196609 JZZ196603:JZZ196609 KJV196603:KJV196609 KTR196603:KTR196609 LDN196603:LDN196609 LNJ196603:LNJ196609 LXF196603:LXF196609 MHB196603:MHB196609 MQX196603:MQX196609 NAT196603:NAT196609 NKP196603:NKP196609 NUL196603:NUL196609 OEH196603:OEH196609 OOD196603:OOD196609 OXZ196603:OXZ196609 PHV196603:PHV196609 PRR196603:PRR196609 QBN196603:QBN196609 QLJ196603:QLJ196609 QVF196603:QVF196609 RFB196603:RFB196609 ROX196603:ROX196609 RYT196603:RYT196609 SIP196603:SIP196609 SSL196603:SSL196609 TCH196603:TCH196609 TMD196603:TMD196609 TVZ196603:TVZ196609 UFV196603:UFV196609 UPR196603:UPR196609 UZN196603:UZN196609 VJJ196603:VJJ196609 VTF196603:VTF196609 WDB196603:WDB196609 WMX196603:WMX196609 WWT196603:WWT196609 KH262139:KH262145 UD262139:UD262145 ADZ262139:ADZ262145 ANV262139:ANV262145 AXR262139:AXR262145 BHN262139:BHN262145 BRJ262139:BRJ262145 CBF262139:CBF262145 CLB262139:CLB262145 CUX262139:CUX262145 DET262139:DET262145 DOP262139:DOP262145 DYL262139:DYL262145 EIH262139:EIH262145 ESD262139:ESD262145 FBZ262139:FBZ262145 FLV262139:FLV262145 FVR262139:FVR262145 GFN262139:GFN262145 GPJ262139:GPJ262145 GZF262139:GZF262145 HJB262139:HJB262145 HSX262139:HSX262145 ICT262139:ICT262145 IMP262139:IMP262145 IWL262139:IWL262145 JGH262139:JGH262145 JQD262139:JQD262145 JZZ262139:JZZ262145 KJV262139:KJV262145 KTR262139:KTR262145 LDN262139:LDN262145 LNJ262139:LNJ262145 LXF262139:LXF262145 MHB262139:MHB262145 MQX262139:MQX262145 NAT262139:NAT262145 NKP262139:NKP262145 NUL262139:NUL262145 OEH262139:OEH262145 OOD262139:OOD262145 OXZ262139:OXZ262145 PHV262139:PHV262145 PRR262139:PRR262145 QBN262139:QBN262145 QLJ262139:QLJ262145 QVF262139:QVF262145 RFB262139:RFB262145 ROX262139:ROX262145 RYT262139:RYT262145 SIP262139:SIP262145 SSL262139:SSL262145 TCH262139:TCH262145 TMD262139:TMD262145 TVZ262139:TVZ262145 UFV262139:UFV262145 UPR262139:UPR262145 UZN262139:UZN262145 VJJ262139:VJJ262145 VTF262139:VTF262145 WDB262139:WDB262145 WMX262139:WMX262145 WWT262139:WWT262145 KH327675:KH327681 UD327675:UD327681 ADZ327675:ADZ327681 ANV327675:ANV327681 AXR327675:AXR327681 BHN327675:BHN327681 BRJ327675:BRJ327681 CBF327675:CBF327681 CLB327675:CLB327681 CUX327675:CUX327681 DET327675:DET327681 DOP327675:DOP327681 DYL327675:DYL327681 EIH327675:EIH327681 ESD327675:ESD327681 FBZ327675:FBZ327681 FLV327675:FLV327681 FVR327675:FVR327681 GFN327675:GFN327681 GPJ327675:GPJ327681 GZF327675:GZF327681 HJB327675:HJB327681 HSX327675:HSX327681 ICT327675:ICT327681 IMP327675:IMP327681 IWL327675:IWL327681 JGH327675:JGH327681 JQD327675:JQD327681 JZZ327675:JZZ327681 KJV327675:KJV327681 KTR327675:KTR327681 LDN327675:LDN327681 LNJ327675:LNJ327681 LXF327675:LXF327681 MHB327675:MHB327681 MQX327675:MQX327681 NAT327675:NAT327681 NKP327675:NKP327681 NUL327675:NUL327681 OEH327675:OEH327681 OOD327675:OOD327681 OXZ327675:OXZ327681 PHV327675:PHV327681 PRR327675:PRR327681 QBN327675:QBN327681 QLJ327675:QLJ327681 QVF327675:QVF327681 RFB327675:RFB327681 ROX327675:ROX327681 RYT327675:RYT327681 SIP327675:SIP327681 SSL327675:SSL327681 TCH327675:TCH327681 TMD327675:TMD327681 TVZ327675:TVZ327681 UFV327675:UFV327681 UPR327675:UPR327681 UZN327675:UZN327681 VJJ327675:VJJ327681 VTF327675:VTF327681 WDB327675:WDB327681 WMX327675:WMX327681 WWT327675:WWT327681 KH393211:KH393217 UD393211:UD393217 ADZ393211:ADZ393217 ANV393211:ANV393217 AXR393211:AXR393217 BHN393211:BHN393217 BRJ393211:BRJ393217 CBF393211:CBF393217 CLB393211:CLB393217 CUX393211:CUX393217 DET393211:DET393217 DOP393211:DOP393217 DYL393211:DYL393217 EIH393211:EIH393217 ESD393211:ESD393217 FBZ393211:FBZ393217 FLV393211:FLV393217 FVR393211:FVR393217 GFN393211:GFN393217 GPJ393211:GPJ393217 GZF393211:GZF393217 HJB393211:HJB393217 HSX393211:HSX393217 ICT393211:ICT393217 IMP393211:IMP393217 IWL393211:IWL393217 JGH393211:JGH393217 JQD393211:JQD393217 JZZ393211:JZZ393217 KJV393211:KJV393217 KTR393211:KTR393217 LDN393211:LDN393217 LNJ393211:LNJ393217 LXF393211:LXF393217 MHB393211:MHB393217 MQX393211:MQX393217 NAT393211:NAT393217 NKP393211:NKP393217 NUL393211:NUL393217 OEH393211:OEH393217 OOD393211:OOD393217 OXZ393211:OXZ393217 PHV393211:PHV393217 PRR393211:PRR393217 QBN393211:QBN393217 QLJ393211:QLJ393217 QVF393211:QVF393217 RFB393211:RFB393217 ROX393211:ROX393217 RYT393211:RYT393217 SIP393211:SIP393217 SSL393211:SSL393217 TCH393211:TCH393217 TMD393211:TMD393217 TVZ393211:TVZ393217 UFV393211:UFV393217 UPR393211:UPR393217 UZN393211:UZN393217 VJJ393211:VJJ393217 VTF393211:VTF393217 WDB393211:WDB393217 WMX393211:WMX393217 WWT393211:WWT393217 KH458747:KH458753 UD458747:UD458753 ADZ458747:ADZ458753 ANV458747:ANV458753 AXR458747:AXR458753 BHN458747:BHN458753 BRJ458747:BRJ458753 CBF458747:CBF458753 CLB458747:CLB458753 CUX458747:CUX458753 DET458747:DET458753 DOP458747:DOP458753 DYL458747:DYL458753 EIH458747:EIH458753 ESD458747:ESD458753 FBZ458747:FBZ458753 FLV458747:FLV458753 FVR458747:FVR458753 GFN458747:GFN458753 GPJ458747:GPJ458753 GZF458747:GZF458753 HJB458747:HJB458753 HSX458747:HSX458753 ICT458747:ICT458753 IMP458747:IMP458753 IWL458747:IWL458753 JGH458747:JGH458753 JQD458747:JQD458753 JZZ458747:JZZ458753 KJV458747:KJV458753 KTR458747:KTR458753 LDN458747:LDN458753 LNJ458747:LNJ458753 LXF458747:LXF458753 MHB458747:MHB458753 MQX458747:MQX458753 NAT458747:NAT458753 NKP458747:NKP458753 NUL458747:NUL458753 OEH458747:OEH458753 OOD458747:OOD458753 OXZ458747:OXZ458753 PHV458747:PHV458753 PRR458747:PRR458753 QBN458747:QBN458753 QLJ458747:QLJ458753 QVF458747:QVF458753 RFB458747:RFB458753 ROX458747:ROX458753 RYT458747:RYT458753 SIP458747:SIP458753 SSL458747:SSL458753 TCH458747:TCH458753 TMD458747:TMD458753 TVZ458747:TVZ458753 UFV458747:UFV458753 UPR458747:UPR458753 UZN458747:UZN458753 VJJ458747:VJJ458753 VTF458747:VTF458753 WDB458747:WDB458753 WMX458747:WMX458753 WWT458747:WWT458753 KH524283:KH524289 UD524283:UD524289 ADZ524283:ADZ524289 ANV524283:ANV524289 AXR524283:AXR524289 BHN524283:BHN524289 BRJ524283:BRJ524289 CBF524283:CBF524289 CLB524283:CLB524289 CUX524283:CUX524289 DET524283:DET524289 DOP524283:DOP524289 DYL524283:DYL524289 EIH524283:EIH524289 ESD524283:ESD524289 FBZ524283:FBZ524289 FLV524283:FLV524289 FVR524283:FVR524289 GFN524283:GFN524289 GPJ524283:GPJ524289 GZF524283:GZF524289 HJB524283:HJB524289 HSX524283:HSX524289 ICT524283:ICT524289 IMP524283:IMP524289 IWL524283:IWL524289 JGH524283:JGH524289 JQD524283:JQD524289 JZZ524283:JZZ524289 KJV524283:KJV524289 KTR524283:KTR524289 LDN524283:LDN524289 LNJ524283:LNJ524289 LXF524283:LXF524289 MHB524283:MHB524289 MQX524283:MQX524289 NAT524283:NAT524289 NKP524283:NKP524289 NUL524283:NUL524289 OEH524283:OEH524289 OOD524283:OOD524289 OXZ524283:OXZ524289 PHV524283:PHV524289 PRR524283:PRR524289 QBN524283:QBN524289 QLJ524283:QLJ524289 QVF524283:QVF524289 RFB524283:RFB524289 ROX524283:ROX524289 RYT524283:RYT524289 SIP524283:SIP524289 SSL524283:SSL524289 TCH524283:TCH524289 TMD524283:TMD524289 TVZ524283:TVZ524289 UFV524283:UFV524289 UPR524283:UPR524289 UZN524283:UZN524289 VJJ524283:VJJ524289 VTF524283:VTF524289 WDB524283:WDB524289 WMX524283:WMX524289 WWT524283:WWT524289 KH589819:KH589825 UD589819:UD589825 ADZ589819:ADZ589825 ANV589819:ANV589825 AXR589819:AXR589825 BHN589819:BHN589825 BRJ589819:BRJ589825 CBF589819:CBF589825 CLB589819:CLB589825 CUX589819:CUX589825 DET589819:DET589825 DOP589819:DOP589825 DYL589819:DYL589825 EIH589819:EIH589825 ESD589819:ESD589825 FBZ589819:FBZ589825 FLV589819:FLV589825 FVR589819:FVR589825 GFN589819:GFN589825 GPJ589819:GPJ589825 GZF589819:GZF589825 HJB589819:HJB589825 HSX589819:HSX589825 ICT589819:ICT589825 IMP589819:IMP589825 IWL589819:IWL589825 JGH589819:JGH589825 JQD589819:JQD589825 JZZ589819:JZZ589825 KJV589819:KJV589825 KTR589819:KTR589825 LDN589819:LDN589825 LNJ589819:LNJ589825 LXF589819:LXF589825 MHB589819:MHB589825 MQX589819:MQX589825 NAT589819:NAT589825 NKP589819:NKP589825 NUL589819:NUL589825 OEH589819:OEH589825 OOD589819:OOD589825 OXZ589819:OXZ589825 PHV589819:PHV589825 PRR589819:PRR589825 QBN589819:QBN589825 QLJ589819:QLJ589825 QVF589819:QVF589825 RFB589819:RFB589825 ROX589819:ROX589825 RYT589819:RYT589825 SIP589819:SIP589825 SSL589819:SSL589825 TCH589819:TCH589825 TMD589819:TMD589825 TVZ589819:TVZ589825 UFV589819:UFV589825 UPR589819:UPR589825 UZN589819:UZN589825 VJJ589819:VJJ589825 VTF589819:VTF589825 WDB589819:WDB589825 WMX589819:WMX589825 WWT589819:WWT589825 KH655355:KH655361 UD655355:UD655361 ADZ655355:ADZ655361 ANV655355:ANV655361 AXR655355:AXR655361 BHN655355:BHN655361 BRJ655355:BRJ655361 CBF655355:CBF655361 CLB655355:CLB655361 CUX655355:CUX655361 DET655355:DET655361 DOP655355:DOP655361 DYL655355:DYL655361 EIH655355:EIH655361 ESD655355:ESD655361 FBZ655355:FBZ655361 FLV655355:FLV655361 FVR655355:FVR655361 GFN655355:GFN655361 GPJ655355:GPJ655361 GZF655355:GZF655361 HJB655355:HJB655361 HSX655355:HSX655361 ICT655355:ICT655361 IMP655355:IMP655361 IWL655355:IWL655361 JGH655355:JGH655361 JQD655355:JQD655361 JZZ655355:JZZ655361 KJV655355:KJV655361 KTR655355:KTR655361 LDN655355:LDN655361 LNJ655355:LNJ655361 LXF655355:LXF655361 MHB655355:MHB655361 MQX655355:MQX655361 NAT655355:NAT655361 NKP655355:NKP655361 NUL655355:NUL655361 OEH655355:OEH655361 OOD655355:OOD655361 OXZ655355:OXZ655361 PHV655355:PHV655361 PRR655355:PRR655361 QBN655355:QBN655361 QLJ655355:QLJ655361 QVF655355:QVF655361 RFB655355:RFB655361 ROX655355:ROX655361 RYT655355:RYT655361 SIP655355:SIP655361 SSL655355:SSL655361 TCH655355:TCH655361 TMD655355:TMD655361 TVZ655355:TVZ655361 UFV655355:UFV655361 UPR655355:UPR655361 UZN655355:UZN655361 VJJ655355:VJJ655361 VTF655355:VTF655361 WDB655355:WDB655361 WMX655355:WMX655361 WWT655355:WWT655361 KH720891:KH720897 UD720891:UD720897 ADZ720891:ADZ720897 ANV720891:ANV720897 AXR720891:AXR720897 BHN720891:BHN720897 BRJ720891:BRJ720897 CBF720891:CBF720897 CLB720891:CLB720897 CUX720891:CUX720897 DET720891:DET720897 DOP720891:DOP720897 DYL720891:DYL720897 EIH720891:EIH720897 ESD720891:ESD720897 FBZ720891:FBZ720897 FLV720891:FLV720897 FVR720891:FVR720897 GFN720891:GFN720897 GPJ720891:GPJ720897 GZF720891:GZF720897 HJB720891:HJB720897 HSX720891:HSX720897 ICT720891:ICT720897 IMP720891:IMP720897 IWL720891:IWL720897 JGH720891:JGH720897 JQD720891:JQD720897 JZZ720891:JZZ720897 KJV720891:KJV720897 KTR720891:KTR720897 LDN720891:LDN720897 LNJ720891:LNJ720897 LXF720891:LXF720897 MHB720891:MHB720897 MQX720891:MQX720897 NAT720891:NAT720897 NKP720891:NKP720897 NUL720891:NUL720897 OEH720891:OEH720897 OOD720891:OOD720897 OXZ720891:OXZ720897 PHV720891:PHV720897 PRR720891:PRR720897 QBN720891:QBN720897 QLJ720891:QLJ720897 QVF720891:QVF720897 RFB720891:RFB720897 ROX720891:ROX720897 RYT720891:RYT720897 SIP720891:SIP720897 SSL720891:SSL720897 TCH720891:TCH720897 TMD720891:TMD720897 TVZ720891:TVZ720897 UFV720891:UFV720897 UPR720891:UPR720897 UZN720891:UZN720897 VJJ720891:VJJ720897 VTF720891:VTF720897 WDB720891:WDB720897 WMX720891:WMX720897 WWT720891:WWT720897 KH786427:KH786433 UD786427:UD786433 ADZ786427:ADZ786433 ANV786427:ANV786433 AXR786427:AXR786433 BHN786427:BHN786433 BRJ786427:BRJ786433 CBF786427:CBF786433 CLB786427:CLB786433 CUX786427:CUX786433 DET786427:DET786433 DOP786427:DOP786433 DYL786427:DYL786433 EIH786427:EIH786433 ESD786427:ESD786433 FBZ786427:FBZ786433 FLV786427:FLV786433 FVR786427:FVR786433 GFN786427:GFN786433 GPJ786427:GPJ786433 GZF786427:GZF786433 HJB786427:HJB786433 HSX786427:HSX786433 ICT786427:ICT786433 IMP786427:IMP786433 IWL786427:IWL786433 JGH786427:JGH786433 JQD786427:JQD786433 JZZ786427:JZZ786433 KJV786427:KJV786433 KTR786427:KTR786433 LDN786427:LDN786433 LNJ786427:LNJ786433 LXF786427:LXF786433 MHB786427:MHB786433 MQX786427:MQX786433 NAT786427:NAT786433 NKP786427:NKP786433 NUL786427:NUL786433 OEH786427:OEH786433 OOD786427:OOD786433 OXZ786427:OXZ786433 PHV786427:PHV786433 PRR786427:PRR786433 QBN786427:QBN786433 QLJ786427:QLJ786433 QVF786427:QVF786433 RFB786427:RFB786433 ROX786427:ROX786433 RYT786427:RYT786433 SIP786427:SIP786433 SSL786427:SSL786433 TCH786427:TCH786433 TMD786427:TMD786433 TVZ786427:TVZ786433 UFV786427:UFV786433 UPR786427:UPR786433 UZN786427:UZN786433 VJJ786427:VJJ786433 VTF786427:VTF786433 WDB786427:WDB786433 WMX786427:WMX786433 WWT786427:WWT786433 KH851963:KH851969 UD851963:UD851969 ADZ851963:ADZ851969 ANV851963:ANV851969 AXR851963:AXR851969 BHN851963:BHN851969 BRJ851963:BRJ851969 CBF851963:CBF851969 CLB851963:CLB851969 CUX851963:CUX851969 DET851963:DET851969 DOP851963:DOP851969 DYL851963:DYL851969 EIH851963:EIH851969 ESD851963:ESD851969 FBZ851963:FBZ851969 FLV851963:FLV851969 FVR851963:FVR851969 GFN851963:GFN851969 GPJ851963:GPJ851969 GZF851963:GZF851969 HJB851963:HJB851969 HSX851963:HSX851969 ICT851963:ICT851969 IMP851963:IMP851969 IWL851963:IWL851969 JGH851963:JGH851969 JQD851963:JQD851969 JZZ851963:JZZ851969 KJV851963:KJV851969 KTR851963:KTR851969 LDN851963:LDN851969 LNJ851963:LNJ851969 LXF851963:LXF851969 MHB851963:MHB851969 MQX851963:MQX851969 NAT851963:NAT851969 NKP851963:NKP851969 NUL851963:NUL851969 OEH851963:OEH851969 OOD851963:OOD851969 OXZ851963:OXZ851969 PHV851963:PHV851969 PRR851963:PRR851969 QBN851963:QBN851969 QLJ851963:QLJ851969 QVF851963:QVF851969 RFB851963:RFB851969 ROX851963:ROX851969 RYT851963:RYT851969 SIP851963:SIP851969 SSL851963:SSL851969 TCH851963:TCH851969 TMD851963:TMD851969 TVZ851963:TVZ851969 UFV851963:UFV851969 UPR851963:UPR851969 UZN851963:UZN851969 VJJ851963:VJJ851969 VTF851963:VTF851969 WDB851963:WDB851969 WMX851963:WMX851969 WWT851963:WWT851969 KH917499:KH917505 UD917499:UD917505 ADZ917499:ADZ917505 ANV917499:ANV917505 AXR917499:AXR917505 BHN917499:BHN917505 BRJ917499:BRJ917505 CBF917499:CBF917505 CLB917499:CLB917505 CUX917499:CUX917505 DET917499:DET917505 DOP917499:DOP917505 DYL917499:DYL917505 EIH917499:EIH917505 ESD917499:ESD917505 FBZ917499:FBZ917505 FLV917499:FLV917505 FVR917499:FVR917505 GFN917499:GFN917505 GPJ917499:GPJ917505 GZF917499:GZF917505 HJB917499:HJB917505 HSX917499:HSX917505 ICT917499:ICT917505 IMP917499:IMP917505 IWL917499:IWL917505 JGH917499:JGH917505 JQD917499:JQD917505 JZZ917499:JZZ917505 KJV917499:KJV917505 KTR917499:KTR917505 LDN917499:LDN917505 LNJ917499:LNJ917505 LXF917499:LXF917505 MHB917499:MHB917505 MQX917499:MQX917505 NAT917499:NAT917505 NKP917499:NKP917505 NUL917499:NUL917505 OEH917499:OEH917505 OOD917499:OOD917505 OXZ917499:OXZ917505 PHV917499:PHV917505 PRR917499:PRR917505 QBN917499:QBN917505 QLJ917499:QLJ917505 QVF917499:QVF917505 RFB917499:RFB917505 ROX917499:ROX917505 RYT917499:RYT917505 SIP917499:SIP917505 SSL917499:SSL917505 TCH917499:TCH917505 TMD917499:TMD917505 TVZ917499:TVZ917505 UFV917499:UFV917505 UPR917499:UPR917505 UZN917499:UZN917505 VJJ917499:VJJ917505 VTF917499:VTF917505 WDB917499:WDB917505 WMX917499:WMX917505 WWT917499:WWT917505 KH983035:KH983041 UD983035:UD983041 ADZ983035:ADZ983041 ANV983035:ANV983041 AXR983035:AXR983041 BHN983035:BHN983041 BRJ983035:BRJ983041 CBF983035:CBF983041 CLB983035:CLB983041 CUX983035:CUX983041 DET983035:DET983041 DOP983035:DOP983041 DYL983035:DYL983041 EIH983035:EIH983041 ESD983035:ESD983041 FBZ983035:FBZ983041 FLV983035:FLV983041 FVR983035:FVR983041 GFN983035:GFN983041 GPJ983035:GPJ983041 GZF983035:GZF983041 HJB983035:HJB983041 HSX983035:HSX983041 ICT983035:ICT983041 IMP983035:IMP983041 IWL983035:IWL983041 JGH983035:JGH983041 JQD983035:JQD983041 JZZ983035:JZZ983041 KJV983035:KJV983041 KTR983035:KTR983041 LDN983035:LDN983041 LNJ983035:LNJ983041 LXF983035:LXF983041 MHB983035:MHB983041 MQX983035:MQX983041 NAT983035:NAT983041 NKP983035:NKP983041 NUL983035:NUL983041 OEH983035:OEH983041 OOD983035:OOD983041 OXZ983035:OXZ983041 PHV983035:PHV983041 PRR983035:PRR983041 QBN983035:QBN983041 QLJ983035:QLJ983041 QVF983035:QVF983041 RFB983035:RFB983041 ROX983035:ROX983041 RYT983035:RYT983041 SIP983035:SIP983041 SSL983035:SSL983041 TCH983035:TCH983041 TMD983035:TMD983041 TVZ983035:TVZ983041 UFV983035:UFV983041 UPR983035:UPR983041 UZN983035:UZN983041 VJJ983035:VJJ983041 VTF983035:VTF983041 WDB983035:WDB983041 WMX983035:WMX983041 WWE983035:WWE983041 JS65531:JS65537 TO65531:TO65537 ADK65531:ADK65537 ANG65531:ANG65537 AXC65531:AXC65537 BGY65531:BGY65537 BQU65531:BQU65537 CAQ65531:CAQ65537 CKM65531:CKM65537 CUI65531:CUI65537 DEE65531:DEE65537 DOA65531:DOA65537 DXW65531:DXW65537 EHS65531:EHS65537 ERO65531:ERO65537 FBK65531:FBK65537 FLG65531:FLG65537 FVC65531:FVC65537 GEY65531:GEY65537 GOU65531:GOU65537 GYQ65531:GYQ65537 HIM65531:HIM65537 HSI65531:HSI65537 ICE65531:ICE65537 IMA65531:IMA65537 IVW65531:IVW65537 JFS65531:JFS65537 JPO65531:JPO65537 JZK65531:JZK65537 KJG65531:KJG65537 KTC65531:KTC65537 LCY65531:LCY65537 LMU65531:LMU65537 LWQ65531:LWQ65537 MGM65531:MGM65537 MQI65531:MQI65537 NAE65531:NAE65537 NKA65531:NKA65537 NTW65531:NTW65537 ODS65531:ODS65537 ONO65531:ONO65537 OXK65531:OXK65537 PHG65531:PHG65537 PRC65531:PRC65537 QAY65531:QAY65537 QKU65531:QKU65537 QUQ65531:QUQ65537 REM65531:REM65537 ROI65531:ROI65537 RYE65531:RYE65537 SIA65531:SIA65537 SRW65531:SRW65537 TBS65531:TBS65537 TLO65531:TLO65537 TVK65531:TVK65537 UFG65531:UFG65537 UPC65531:UPC65537 UYY65531:UYY65537 VIU65531:VIU65537 VSQ65531:VSQ65537 WCM65531:WCM65537 WMI65531:WMI65537 WWE65531:WWE65537 JS131067:JS131073 TO131067:TO131073 ADK131067:ADK131073 ANG131067:ANG131073 AXC131067:AXC131073 BGY131067:BGY131073 BQU131067:BQU131073 CAQ131067:CAQ131073 CKM131067:CKM131073 CUI131067:CUI131073 DEE131067:DEE131073 DOA131067:DOA131073 DXW131067:DXW131073 EHS131067:EHS131073 ERO131067:ERO131073 FBK131067:FBK131073 FLG131067:FLG131073 FVC131067:FVC131073 GEY131067:GEY131073 GOU131067:GOU131073 GYQ131067:GYQ131073 HIM131067:HIM131073 HSI131067:HSI131073 ICE131067:ICE131073 IMA131067:IMA131073 IVW131067:IVW131073 JFS131067:JFS131073 JPO131067:JPO131073 JZK131067:JZK131073 KJG131067:KJG131073 KTC131067:KTC131073 LCY131067:LCY131073 LMU131067:LMU131073 LWQ131067:LWQ131073 MGM131067:MGM131073 MQI131067:MQI131073 NAE131067:NAE131073 NKA131067:NKA131073 NTW131067:NTW131073 ODS131067:ODS131073 ONO131067:ONO131073 OXK131067:OXK131073 PHG131067:PHG131073 PRC131067:PRC131073 QAY131067:QAY131073 QKU131067:QKU131073 QUQ131067:QUQ131073 REM131067:REM131073 ROI131067:ROI131073 RYE131067:RYE131073 SIA131067:SIA131073 SRW131067:SRW131073 TBS131067:TBS131073 TLO131067:TLO131073 TVK131067:TVK131073 UFG131067:UFG131073 UPC131067:UPC131073 UYY131067:UYY131073 VIU131067:VIU131073 VSQ131067:VSQ131073 WCM131067:WCM131073 WMI131067:WMI131073 WWE131067:WWE131073 JS196603:JS196609 TO196603:TO196609 ADK196603:ADK196609 ANG196603:ANG196609 AXC196603:AXC196609 BGY196603:BGY196609 BQU196603:BQU196609 CAQ196603:CAQ196609 CKM196603:CKM196609 CUI196603:CUI196609 DEE196603:DEE196609 DOA196603:DOA196609 DXW196603:DXW196609 EHS196603:EHS196609 ERO196603:ERO196609 FBK196603:FBK196609 FLG196603:FLG196609 FVC196603:FVC196609 GEY196603:GEY196609 GOU196603:GOU196609 GYQ196603:GYQ196609 HIM196603:HIM196609 HSI196603:HSI196609 ICE196603:ICE196609 IMA196603:IMA196609 IVW196603:IVW196609 JFS196603:JFS196609 JPO196603:JPO196609 JZK196603:JZK196609 KJG196603:KJG196609 KTC196603:KTC196609 LCY196603:LCY196609 LMU196603:LMU196609 LWQ196603:LWQ196609 MGM196603:MGM196609 MQI196603:MQI196609 NAE196603:NAE196609 NKA196603:NKA196609 NTW196603:NTW196609 ODS196603:ODS196609 ONO196603:ONO196609 OXK196603:OXK196609 PHG196603:PHG196609 PRC196603:PRC196609 QAY196603:QAY196609 QKU196603:QKU196609 QUQ196603:QUQ196609 REM196603:REM196609 ROI196603:ROI196609 RYE196603:RYE196609 SIA196603:SIA196609 SRW196603:SRW196609 TBS196603:TBS196609 TLO196603:TLO196609 TVK196603:TVK196609 UFG196603:UFG196609 UPC196603:UPC196609 UYY196603:UYY196609 VIU196603:VIU196609 VSQ196603:VSQ196609 WCM196603:WCM196609 WMI196603:WMI196609 WWE196603:WWE196609 JS262139:JS262145 TO262139:TO262145 ADK262139:ADK262145 ANG262139:ANG262145 AXC262139:AXC262145 BGY262139:BGY262145 BQU262139:BQU262145 CAQ262139:CAQ262145 CKM262139:CKM262145 CUI262139:CUI262145 DEE262139:DEE262145 DOA262139:DOA262145 DXW262139:DXW262145 EHS262139:EHS262145 ERO262139:ERO262145 FBK262139:FBK262145 FLG262139:FLG262145 FVC262139:FVC262145 GEY262139:GEY262145 GOU262139:GOU262145 GYQ262139:GYQ262145 HIM262139:HIM262145 HSI262139:HSI262145 ICE262139:ICE262145 IMA262139:IMA262145 IVW262139:IVW262145 JFS262139:JFS262145 JPO262139:JPO262145 JZK262139:JZK262145 KJG262139:KJG262145 KTC262139:KTC262145 LCY262139:LCY262145 LMU262139:LMU262145 LWQ262139:LWQ262145 MGM262139:MGM262145 MQI262139:MQI262145 NAE262139:NAE262145 NKA262139:NKA262145 NTW262139:NTW262145 ODS262139:ODS262145 ONO262139:ONO262145 OXK262139:OXK262145 PHG262139:PHG262145 PRC262139:PRC262145 QAY262139:QAY262145 QKU262139:QKU262145 QUQ262139:QUQ262145 REM262139:REM262145 ROI262139:ROI262145 RYE262139:RYE262145 SIA262139:SIA262145 SRW262139:SRW262145 TBS262139:TBS262145 TLO262139:TLO262145 TVK262139:TVK262145 UFG262139:UFG262145 UPC262139:UPC262145 UYY262139:UYY262145 VIU262139:VIU262145 VSQ262139:VSQ262145 WCM262139:WCM262145 WMI262139:WMI262145 WWE262139:WWE262145 JS327675:JS327681 TO327675:TO327681 ADK327675:ADK327681 ANG327675:ANG327681 AXC327675:AXC327681 BGY327675:BGY327681 BQU327675:BQU327681 CAQ327675:CAQ327681 CKM327675:CKM327681 CUI327675:CUI327681 DEE327675:DEE327681 DOA327675:DOA327681 DXW327675:DXW327681 EHS327675:EHS327681 ERO327675:ERO327681 FBK327675:FBK327681 FLG327675:FLG327681 FVC327675:FVC327681 GEY327675:GEY327681 GOU327675:GOU327681 GYQ327675:GYQ327681 HIM327675:HIM327681 HSI327675:HSI327681 ICE327675:ICE327681 IMA327675:IMA327681 IVW327675:IVW327681 JFS327675:JFS327681 JPO327675:JPO327681 JZK327675:JZK327681 KJG327675:KJG327681 KTC327675:KTC327681 LCY327675:LCY327681 LMU327675:LMU327681 LWQ327675:LWQ327681 MGM327675:MGM327681 MQI327675:MQI327681 NAE327675:NAE327681 NKA327675:NKA327681 NTW327675:NTW327681 ODS327675:ODS327681 ONO327675:ONO327681 OXK327675:OXK327681 PHG327675:PHG327681 PRC327675:PRC327681 QAY327675:QAY327681 QKU327675:QKU327681 QUQ327675:QUQ327681 REM327675:REM327681 ROI327675:ROI327681 RYE327675:RYE327681 SIA327675:SIA327681 SRW327675:SRW327681 TBS327675:TBS327681 TLO327675:TLO327681 TVK327675:TVK327681 UFG327675:UFG327681 UPC327675:UPC327681 UYY327675:UYY327681 VIU327675:VIU327681 VSQ327675:VSQ327681 WCM327675:WCM327681 WMI327675:WMI327681 WWE327675:WWE327681 JS393211:JS393217 TO393211:TO393217 ADK393211:ADK393217 ANG393211:ANG393217 AXC393211:AXC393217 BGY393211:BGY393217 BQU393211:BQU393217 CAQ393211:CAQ393217 CKM393211:CKM393217 CUI393211:CUI393217 DEE393211:DEE393217 DOA393211:DOA393217 DXW393211:DXW393217 EHS393211:EHS393217 ERO393211:ERO393217 FBK393211:FBK393217 FLG393211:FLG393217 FVC393211:FVC393217 GEY393211:GEY393217 GOU393211:GOU393217 GYQ393211:GYQ393217 HIM393211:HIM393217 HSI393211:HSI393217 ICE393211:ICE393217 IMA393211:IMA393217 IVW393211:IVW393217 JFS393211:JFS393217 JPO393211:JPO393217 JZK393211:JZK393217 KJG393211:KJG393217 KTC393211:KTC393217 LCY393211:LCY393217 LMU393211:LMU393217 LWQ393211:LWQ393217 MGM393211:MGM393217 MQI393211:MQI393217 NAE393211:NAE393217 NKA393211:NKA393217 NTW393211:NTW393217 ODS393211:ODS393217 ONO393211:ONO393217 OXK393211:OXK393217 PHG393211:PHG393217 PRC393211:PRC393217 QAY393211:QAY393217 QKU393211:QKU393217 QUQ393211:QUQ393217 REM393211:REM393217 ROI393211:ROI393217 RYE393211:RYE393217 SIA393211:SIA393217 SRW393211:SRW393217 TBS393211:TBS393217 TLO393211:TLO393217 TVK393211:TVK393217 UFG393211:UFG393217 UPC393211:UPC393217 UYY393211:UYY393217 VIU393211:VIU393217 VSQ393211:VSQ393217 WCM393211:WCM393217 WMI393211:WMI393217 WWE393211:WWE393217 JS458747:JS458753 TO458747:TO458753 ADK458747:ADK458753 ANG458747:ANG458753 AXC458747:AXC458753 BGY458747:BGY458753 BQU458747:BQU458753 CAQ458747:CAQ458753 CKM458747:CKM458753 CUI458747:CUI458753 DEE458747:DEE458753 DOA458747:DOA458753 DXW458747:DXW458753 EHS458747:EHS458753 ERO458747:ERO458753 FBK458747:FBK458753 FLG458747:FLG458753 FVC458747:FVC458753 GEY458747:GEY458753 GOU458747:GOU458753 GYQ458747:GYQ458753 HIM458747:HIM458753 HSI458747:HSI458753 ICE458747:ICE458753 IMA458747:IMA458753 IVW458747:IVW458753 JFS458747:JFS458753 JPO458747:JPO458753 JZK458747:JZK458753 KJG458747:KJG458753 KTC458747:KTC458753 LCY458747:LCY458753 LMU458747:LMU458753 LWQ458747:LWQ458753 MGM458747:MGM458753 MQI458747:MQI458753 NAE458747:NAE458753 NKA458747:NKA458753 NTW458747:NTW458753 ODS458747:ODS458753 ONO458747:ONO458753 OXK458747:OXK458753 PHG458747:PHG458753 PRC458747:PRC458753 QAY458747:QAY458753 QKU458747:QKU458753 QUQ458747:QUQ458753 REM458747:REM458753 ROI458747:ROI458753 RYE458747:RYE458753 SIA458747:SIA458753 SRW458747:SRW458753 TBS458747:TBS458753 TLO458747:TLO458753 TVK458747:TVK458753 UFG458747:UFG458753 UPC458747:UPC458753 UYY458747:UYY458753 VIU458747:VIU458753 VSQ458747:VSQ458753 WCM458747:WCM458753 WMI458747:WMI458753 WWE458747:WWE458753 JS524283:JS524289 TO524283:TO524289 ADK524283:ADK524289 ANG524283:ANG524289 AXC524283:AXC524289 BGY524283:BGY524289 BQU524283:BQU524289 CAQ524283:CAQ524289 CKM524283:CKM524289 CUI524283:CUI524289 DEE524283:DEE524289 DOA524283:DOA524289 DXW524283:DXW524289 EHS524283:EHS524289 ERO524283:ERO524289 FBK524283:FBK524289 FLG524283:FLG524289 FVC524283:FVC524289 GEY524283:GEY524289 GOU524283:GOU524289 GYQ524283:GYQ524289 HIM524283:HIM524289 HSI524283:HSI524289 ICE524283:ICE524289 IMA524283:IMA524289 IVW524283:IVW524289 JFS524283:JFS524289 JPO524283:JPO524289 JZK524283:JZK524289 KJG524283:KJG524289 KTC524283:KTC524289 LCY524283:LCY524289 LMU524283:LMU524289 LWQ524283:LWQ524289 MGM524283:MGM524289 MQI524283:MQI524289 NAE524283:NAE524289 NKA524283:NKA524289 NTW524283:NTW524289 ODS524283:ODS524289 ONO524283:ONO524289 OXK524283:OXK524289 PHG524283:PHG524289 PRC524283:PRC524289 QAY524283:QAY524289 QKU524283:QKU524289 QUQ524283:QUQ524289 REM524283:REM524289 ROI524283:ROI524289 RYE524283:RYE524289 SIA524283:SIA524289 SRW524283:SRW524289 TBS524283:TBS524289 TLO524283:TLO524289 TVK524283:TVK524289 UFG524283:UFG524289 UPC524283:UPC524289 UYY524283:UYY524289 VIU524283:VIU524289 VSQ524283:VSQ524289 WCM524283:WCM524289 WMI524283:WMI524289 WWE524283:WWE524289 JS589819:JS589825 TO589819:TO589825 ADK589819:ADK589825 ANG589819:ANG589825 AXC589819:AXC589825 BGY589819:BGY589825 BQU589819:BQU589825 CAQ589819:CAQ589825 CKM589819:CKM589825 CUI589819:CUI589825 DEE589819:DEE589825 DOA589819:DOA589825 DXW589819:DXW589825 EHS589819:EHS589825 ERO589819:ERO589825 FBK589819:FBK589825 FLG589819:FLG589825 FVC589819:FVC589825 GEY589819:GEY589825 GOU589819:GOU589825 GYQ589819:GYQ589825 HIM589819:HIM589825 HSI589819:HSI589825 ICE589819:ICE589825 IMA589819:IMA589825 IVW589819:IVW589825 JFS589819:JFS589825 JPO589819:JPO589825 JZK589819:JZK589825 KJG589819:KJG589825 KTC589819:KTC589825 LCY589819:LCY589825 LMU589819:LMU589825 LWQ589819:LWQ589825 MGM589819:MGM589825 MQI589819:MQI589825 NAE589819:NAE589825 NKA589819:NKA589825 NTW589819:NTW589825 ODS589819:ODS589825 ONO589819:ONO589825 OXK589819:OXK589825 PHG589819:PHG589825 PRC589819:PRC589825 QAY589819:QAY589825 QKU589819:QKU589825 QUQ589819:QUQ589825 REM589819:REM589825 ROI589819:ROI589825 RYE589819:RYE589825 SIA589819:SIA589825 SRW589819:SRW589825 TBS589819:TBS589825 TLO589819:TLO589825 TVK589819:TVK589825 UFG589819:UFG589825 UPC589819:UPC589825 UYY589819:UYY589825 VIU589819:VIU589825 VSQ589819:VSQ589825 WCM589819:WCM589825 WMI589819:WMI589825 WWE589819:WWE589825 JS655355:JS655361 TO655355:TO655361 ADK655355:ADK655361 ANG655355:ANG655361 AXC655355:AXC655361 BGY655355:BGY655361 BQU655355:BQU655361 CAQ655355:CAQ655361 CKM655355:CKM655361 CUI655355:CUI655361 DEE655355:DEE655361 DOA655355:DOA655361 DXW655355:DXW655361 EHS655355:EHS655361 ERO655355:ERO655361 FBK655355:FBK655361 FLG655355:FLG655361 FVC655355:FVC655361 GEY655355:GEY655361 GOU655355:GOU655361 GYQ655355:GYQ655361 HIM655355:HIM655361 HSI655355:HSI655361 ICE655355:ICE655361 IMA655355:IMA655361 IVW655355:IVW655361 JFS655355:JFS655361 JPO655355:JPO655361 JZK655355:JZK655361 KJG655355:KJG655361 KTC655355:KTC655361 LCY655355:LCY655361 LMU655355:LMU655361 LWQ655355:LWQ655361 MGM655355:MGM655361 MQI655355:MQI655361 NAE655355:NAE655361 NKA655355:NKA655361 NTW655355:NTW655361 ODS655355:ODS655361 ONO655355:ONO655361 OXK655355:OXK655361 PHG655355:PHG655361 PRC655355:PRC655361 QAY655355:QAY655361 QKU655355:QKU655361 QUQ655355:QUQ655361 REM655355:REM655361 ROI655355:ROI655361 RYE655355:RYE655361 SIA655355:SIA655361 SRW655355:SRW655361 TBS655355:TBS655361 TLO655355:TLO655361 TVK655355:TVK655361 UFG655355:UFG655361 UPC655355:UPC655361 UYY655355:UYY655361 VIU655355:VIU655361 VSQ655355:VSQ655361 WCM655355:WCM655361 WMI655355:WMI655361 WWE655355:WWE655361 JS720891:JS720897 TO720891:TO720897 ADK720891:ADK720897 ANG720891:ANG720897 AXC720891:AXC720897 BGY720891:BGY720897 BQU720891:BQU720897 CAQ720891:CAQ720897 CKM720891:CKM720897 CUI720891:CUI720897 DEE720891:DEE720897 DOA720891:DOA720897 DXW720891:DXW720897 EHS720891:EHS720897 ERO720891:ERO720897 FBK720891:FBK720897 FLG720891:FLG720897 FVC720891:FVC720897 GEY720891:GEY720897 GOU720891:GOU720897 GYQ720891:GYQ720897 HIM720891:HIM720897 HSI720891:HSI720897 ICE720891:ICE720897 IMA720891:IMA720897 IVW720891:IVW720897 JFS720891:JFS720897 JPO720891:JPO720897 JZK720891:JZK720897 KJG720891:KJG720897 KTC720891:KTC720897 LCY720891:LCY720897 LMU720891:LMU720897 LWQ720891:LWQ720897 MGM720891:MGM720897 MQI720891:MQI720897 NAE720891:NAE720897 NKA720891:NKA720897 NTW720891:NTW720897 ODS720891:ODS720897 ONO720891:ONO720897 OXK720891:OXK720897 PHG720891:PHG720897 PRC720891:PRC720897 QAY720891:QAY720897 QKU720891:QKU720897 QUQ720891:QUQ720897 REM720891:REM720897 ROI720891:ROI720897 RYE720891:RYE720897 SIA720891:SIA720897 SRW720891:SRW720897 TBS720891:TBS720897 TLO720891:TLO720897 TVK720891:TVK720897 UFG720891:UFG720897 UPC720891:UPC720897 UYY720891:UYY720897 VIU720891:VIU720897 VSQ720891:VSQ720897 WCM720891:WCM720897 WMI720891:WMI720897 WWE720891:WWE720897 JS786427:JS786433 TO786427:TO786433 ADK786427:ADK786433 ANG786427:ANG786433 AXC786427:AXC786433 BGY786427:BGY786433 BQU786427:BQU786433 CAQ786427:CAQ786433 CKM786427:CKM786433 CUI786427:CUI786433 DEE786427:DEE786433 DOA786427:DOA786433 DXW786427:DXW786433 EHS786427:EHS786433 ERO786427:ERO786433 FBK786427:FBK786433 FLG786427:FLG786433 FVC786427:FVC786433 GEY786427:GEY786433 GOU786427:GOU786433 GYQ786427:GYQ786433 HIM786427:HIM786433 HSI786427:HSI786433 ICE786427:ICE786433 IMA786427:IMA786433 IVW786427:IVW786433 JFS786427:JFS786433 JPO786427:JPO786433 JZK786427:JZK786433 KJG786427:KJG786433 KTC786427:KTC786433 LCY786427:LCY786433 LMU786427:LMU786433 LWQ786427:LWQ786433 MGM786427:MGM786433 MQI786427:MQI786433 NAE786427:NAE786433 NKA786427:NKA786433 NTW786427:NTW786433 ODS786427:ODS786433 ONO786427:ONO786433 OXK786427:OXK786433 PHG786427:PHG786433 PRC786427:PRC786433 QAY786427:QAY786433 QKU786427:QKU786433 QUQ786427:QUQ786433 REM786427:REM786433 ROI786427:ROI786433 RYE786427:RYE786433 SIA786427:SIA786433 SRW786427:SRW786433 TBS786427:TBS786433 TLO786427:TLO786433 TVK786427:TVK786433 UFG786427:UFG786433 UPC786427:UPC786433 UYY786427:UYY786433 VIU786427:VIU786433 VSQ786427:VSQ786433 WCM786427:WCM786433 WMI786427:WMI786433 WWE786427:WWE786433 JS851963:JS851969 TO851963:TO851969 ADK851963:ADK851969 ANG851963:ANG851969 AXC851963:AXC851969 BGY851963:BGY851969 BQU851963:BQU851969 CAQ851963:CAQ851969 CKM851963:CKM851969 CUI851963:CUI851969 DEE851963:DEE851969 DOA851963:DOA851969 DXW851963:DXW851969 EHS851963:EHS851969 ERO851963:ERO851969 FBK851963:FBK851969 FLG851963:FLG851969 FVC851963:FVC851969 GEY851963:GEY851969 GOU851963:GOU851969 GYQ851963:GYQ851969 HIM851963:HIM851969 HSI851963:HSI851969 ICE851963:ICE851969 IMA851963:IMA851969 IVW851963:IVW851969 JFS851963:JFS851969 JPO851963:JPO851969 JZK851963:JZK851969 KJG851963:KJG851969 KTC851963:KTC851969 LCY851963:LCY851969 LMU851963:LMU851969 LWQ851963:LWQ851969 MGM851963:MGM851969 MQI851963:MQI851969 NAE851963:NAE851969 NKA851963:NKA851969 NTW851963:NTW851969 ODS851963:ODS851969 ONO851963:ONO851969 OXK851963:OXK851969 PHG851963:PHG851969 PRC851963:PRC851969 QAY851963:QAY851969 QKU851963:QKU851969 QUQ851963:QUQ851969 REM851963:REM851969 ROI851963:ROI851969 RYE851963:RYE851969 SIA851963:SIA851969 SRW851963:SRW851969 TBS851963:TBS851969 TLO851963:TLO851969 TVK851963:TVK851969 UFG851963:UFG851969 UPC851963:UPC851969 UYY851963:UYY851969 VIU851963:VIU851969 VSQ851963:VSQ851969 WCM851963:WCM851969 WMI851963:WMI851969 WWE851963:WWE851969 JS917499:JS917505 TO917499:TO917505 ADK917499:ADK917505 ANG917499:ANG917505 AXC917499:AXC917505 BGY917499:BGY917505 BQU917499:BQU917505 CAQ917499:CAQ917505 CKM917499:CKM917505 CUI917499:CUI917505 DEE917499:DEE917505 DOA917499:DOA917505 DXW917499:DXW917505 EHS917499:EHS917505 ERO917499:ERO917505 FBK917499:FBK917505 FLG917499:FLG917505 FVC917499:FVC917505 GEY917499:GEY917505 GOU917499:GOU917505 GYQ917499:GYQ917505 HIM917499:HIM917505 HSI917499:HSI917505 ICE917499:ICE917505 IMA917499:IMA917505 IVW917499:IVW917505 JFS917499:JFS917505 JPO917499:JPO917505 JZK917499:JZK917505 KJG917499:KJG917505 KTC917499:KTC917505 LCY917499:LCY917505 LMU917499:LMU917505 LWQ917499:LWQ917505 MGM917499:MGM917505 MQI917499:MQI917505 NAE917499:NAE917505 NKA917499:NKA917505 NTW917499:NTW917505 ODS917499:ODS917505 ONO917499:ONO917505 OXK917499:OXK917505 PHG917499:PHG917505 PRC917499:PRC917505 QAY917499:QAY917505 QKU917499:QKU917505 QUQ917499:QUQ917505 REM917499:REM917505 ROI917499:ROI917505 RYE917499:RYE917505 SIA917499:SIA917505 SRW917499:SRW917505 TBS917499:TBS917505 TLO917499:TLO917505 TVK917499:TVK917505 UFG917499:UFG917505 UPC917499:UPC917505 UYY917499:UYY917505 VIU917499:VIU917505 VSQ917499:VSQ917505 WCM917499:WCM917505 WMI917499:WMI917505 WWE917499:WWE917505 JS983035:JS983041 TO983035:TO983041 ADK983035:ADK983041 ANG983035:ANG983041 AXC983035:AXC983041 BGY983035:BGY983041 BQU983035:BQU983041 CAQ983035:CAQ983041 CKM983035:CKM983041 CUI983035:CUI983041 DEE983035:DEE983041 DOA983035:DOA983041 DXW983035:DXW983041 EHS983035:EHS983041 ERO983035:ERO983041 FBK983035:FBK983041 FLG983035:FLG983041 FVC983035:FVC983041 GEY983035:GEY983041 GOU983035:GOU983041 GYQ983035:GYQ983041 HIM983035:HIM983041 HSI983035:HSI983041 ICE983035:ICE983041 IMA983035:IMA983041 IVW983035:IVW983041 JFS983035:JFS983041 JPO983035:JPO983041 JZK983035:JZK983041 KJG983035:KJG983041 KTC983035:KTC983041 LCY983035:LCY983041 LMU983035:LMU983041 LWQ983035:LWQ983041 MGM983035:MGM983041 MQI983035:MQI983041 NAE983035:NAE983041 NKA983035:NKA983041 NTW983035:NTW983041 ODS983035:ODS983041 ONO983035:ONO983041 OXK983035:OXK983041 PHG983035:PHG983041 PRC983035:PRC983041 QAY983035:QAY983041 QKU983035:QKU983041 QUQ983035:QUQ983041 REM983035:REM983041 ROI983035:ROI983041 RYE983035:RYE983041 SIA983035:SIA983041 SRW983035:SRW983041 TBS983035:TBS983041 TLO983035:TLO983041 TVK983035:TVK983041 UFG983035:UFG983041 UPC983035:UPC983041 UYY983035:UYY983041 VIU983035:VIU983041 VSQ983035:VSQ983041 WCM983035:WCM983041 WMI983035:WMI983041 WWP983035:WWP983041 WMT983035:WMT983041 WCX983035:WCX983041 VTB983035:VTB983041 VJF983035:VJF983041 UZJ983035:UZJ983041 UPN983035:UPN983041 UFR983035:UFR983041 TVV983035:TVV983041 TLZ983035:TLZ983041 TCD983035:TCD983041 SSH983035:SSH983041 SIL983035:SIL983041 RYP983035:RYP983041 ROT983035:ROT983041 REX983035:REX983041 QVB983035:QVB983041 QLF983035:QLF983041 QBJ983035:QBJ983041 PRN983035:PRN983041 PHR983035:PHR983041 OXV983035:OXV983041 ONZ983035:ONZ983041 OED983035:OED983041 NUH983035:NUH983041 NKL983035:NKL983041 NAP983035:NAP983041 MQT983035:MQT983041 MGX983035:MGX983041 LXB983035:LXB983041 LNF983035:LNF983041 LDJ983035:LDJ983041 KTN983035:KTN983041 KJR983035:KJR983041 JZV983035:JZV983041 JPZ983035:JPZ983041 JGD983035:JGD983041 IWH983035:IWH983041 IML983035:IML983041 ICP983035:ICP983041 HST983035:HST983041 HIX983035:HIX983041 GZB983035:GZB983041 GPF983035:GPF983041 GFJ983035:GFJ983041 FVN983035:FVN983041 FLR983035:FLR983041 FBV983035:FBV983041 ERZ983035:ERZ983041 EID983035:EID983041 DYH983035:DYH983041 DOL983035:DOL983041 DEP983035:DEP983041 CUT983035:CUT983041 CKX983035:CKX983041 CBB983035:CBB983041 BRF983035:BRF983041 BHJ983035:BHJ983041 AXN983035:AXN983041 ANR983035:ANR983041 ADV983035:ADV983041 TZ983035:TZ983041 KD983035:KD983041 WWP917499:WWP917505 WMT917499:WMT917505 WCX917499:WCX917505 VTB917499:VTB917505 VJF917499:VJF917505 UZJ917499:UZJ917505 UPN917499:UPN917505 UFR917499:UFR917505 TVV917499:TVV917505 TLZ917499:TLZ917505 TCD917499:TCD917505 SSH917499:SSH917505 SIL917499:SIL917505 RYP917499:RYP917505 ROT917499:ROT917505 REX917499:REX917505 QVB917499:QVB917505 QLF917499:QLF917505 QBJ917499:QBJ917505 PRN917499:PRN917505 PHR917499:PHR917505 OXV917499:OXV917505 ONZ917499:ONZ917505 OED917499:OED917505 NUH917499:NUH917505 NKL917499:NKL917505 NAP917499:NAP917505 MQT917499:MQT917505 MGX917499:MGX917505 LXB917499:LXB917505 LNF917499:LNF917505 LDJ917499:LDJ917505 KTN917499:KTN917505 KJR917499:KJR917505 JZV917499:JZV917505 JPZ917499:JPZ917505 JGD917499:JGD917505 IWH917499:IWH917505 IML917499:IML917505 ICP917499:ICP917505 HST917499:HST917505 HIX917499:HIX917505 GZB917499:GZB917505 GPF917499:GPF917505 GFJ917499:GFJ917505 FVN917499:FVN917505 FLR917499:FLR917505 FBV917499:FBV917505 ERZ917499:ERZ917505 EID917499:EID917505 DYH917499:DYH917505 DOL917499:DOL917505 DEP917499:DEP917505 CUT917499:CUT917505 CKX917499:CKX917505 CBB917499:CBB917505 BRF917499:BRF917505 BHJ917499:BHJ917505 AXN917499:AXN917505 ANR917499:ANR917505 ADV917499:ADV917505 TZ917499:TZ917505 KD917499:KD917505 WWP851963:WWP851969 WMT851963:WMT851969 WCX851963:WCX851969 VTB851963:VTB851969 VJF851963:VJF851969 UZJ851963:UZJ851969 UPN851963:UPN851969 UFR851963:UFR851969 TVV851963:TVV851969 TLZ851963:TLZ851969 TCD851963:TCD851969 SSH851963:SSH851969 SIL851963:SIL851969 RYP851963:RYP851969 ROT851963:ROT851969 REX851963:REX851969 QVB851963:QVB851969 QLF851963:QLF851969 QBJ851963:QBJ851969 PRN851963:PRN851969 PHR851963:PHR851969 OXV851963:OXV851969 ONZ851963:ONZ851969 OED851963:OED851969 NUH851963:NUH851969 NKL851963:NKL851969 NAP851963:NAP851969 MQT851963:MQT851969 MGX851963:MGX851969 LXB851963:LXB851969 LNF851963:LNF851969 LDJ851963:LDJ851969 KTN851963:KTN851969 KJR851963:KJR851969 JZV851963:JZV851969 JPZ851963:JPZ851969 JGD851963:JGD851969 IWH851963:IWH851969 IML851963:IML851969 ICP851963:ICP851969 HST851963:HST851969 HIX851963:HIX851969 GZB851963:GZB851969 GPF851963:GPF851969 GFJ851963:GFJ851969 FVN851963:FVN851969 FLR851963:FLR851969 FBV851963:FBV851969 ERZ851963:ERZ851969 EID851963:EID851969 DYH851963:DYH851969 DOL851963:DOL851969 DEP851963:DEP851969 CUT851963:CUT851969 CKX851963:CKX851969 CBB851963:CBB851969 BRF851963:BRF851969 BHJ851963:BHJ851969 AXN851963:AXN851969 ANR851963:ANR851969 ADV851963:ADV851969 TZ851963:TZ851969 KD851963:KD851969 WWP786427:WWP786433 WMT786427:WMT786433 WCX786427:WCX786433 VTB786427:VTB786433 VJF786427:VJF786433 UZJ786427:UZJ786433 UPN786427:UPN786433 UFR786427:UFR786433 TVV786427:TVV786433 TLZ786427:TLZ786433 TCD786427:TCD786433 SSH786427:SSH786433 SIL786427:SIL786433 RYP786427:RYP786433 ROT786427:ROT786433 REX786427:REX786433 QVB786427:QVB786433 QLF786427:QLF786433 QBJ786427:QBJ786433 PRN786427:PRN786433 PHR786427:PHR786433 OXV786427:OXV786433 ONZ786427:ONZ786433 OED786427:OED786433 NUH786427:NUH786433 NKL786427:NKL786433 NAP786427:NAP786433 MQT786427:MQT786433 MGX786427:MGX786433 LXB786427:LXB786433 LNF786427:LNF786433 LDJ786427:LDJ786433 KTN786427:KTN786433 KJR786427:KJR786433 JZV786427:JZV786433 JPZ786427:JPZ786433 JGD786427:JGD786433 IWH786427:IWH786433 IML786427:IML786433 ICP786427:ICP786433 HST786427:HST786433 HIX786427:HIX786433 GZB786427:GZB786433 GPF786427:GPF786433 GFJ786427:GFJ786433 FVN786427:FVN786433 FLR786427:FLR786433 FBV786427:FBV786433 ERZ786427:ERZ786433 EID786427:EID786433 DYH786427:DYH786433 DOL786427:DOL786433 DEP786427:DEP786433 CUT786427:CUT786433 CKX786427:CKX786433 CBB786427:CBB786433 BRF786427:BRF786433 BHJ786427:BHJ786433 AXN786427:AXN786433 ANR786427:ANR786433 ADV786427:ADV786433 TZ786427:TZ786433 KD786427:KD786433 WWP720891:WWP720897 WMT720891:WMT720897 WCX720891:WCX720897 VTB720891:VTB720897 VJF720891:VJF720897 UZJ720891:UZJ720897 UPN720891:UPN720897 UFR720891:UFR720897 TVV720891:TVV720897 TLZ720891:TLZ720897 TCD720891:TCD720897 SSH720891:SSH720897 SIL720891:SIL720897 RYP720891:RYP720897 ROT720891:ROT720897 REX720891:REX720897 QVB720891:QVB720897 QLF720891:QLF720897 QBJ720891:QBJ720897 PRN720891:PRN720897 PHR720891:PHR720897 OXV720891:OXV720897 ONZ720891:ONZ720897 OED720891:OED720897 NUH720891:NUH720897 NKL720891:NKL720897 NAP720891:NAP720897 MQT720891:MQT720897 MGX720891:MGX720897 LXB720891:LXB720897 LNF720891:LNF720897 LDJ720891:LDJ720897 KTN720891:KTN720897 KJR720891:KJR720897 JZV720891:JZV720897 JPZ720891:JPZ720897 JGD720891:JGD720897 IWH720891:IWH720897 IML720891:IML720897 ICP720891:ICP720897 HST720891:HST720897 HIX720891:HIX720897 GZB720891:GZB720897 GPF720891:GPF720897 GFJ720891:GFJ720897 FVN720891:FVN720897 FLR720891:FLR720897 FBV720891:FBV720897 ERZ720891:ERZ720897 EID720891:EID720897 DYH720891:DYH720897 DOL720891:DOL720897 DEP720891:DEP720897 CUT720891:CUT720897 CKX720891:CKX720897 CBB720891:CBB720897 BRF720891:BRF720897 BHJ720891:BHJ720897 AXN720891:AXN720897 ANR720891:ANR720897 ADV720891:ADV720897 TZ720891:TZ720897 KD720891:KD720897 WWP655355:WWP655361 WMT655355:WMT655361 WCX655355:WCX655361 VTB655355:VTB655361 VJF655355:VJF655361 UZJ655355:UZJ655361 UPN655355:UPN655361 UFR655355:UFR655361 TVV655355:TVV655361 TLZ655355:TLZ655361 TCD655355:TCD655361 SSH655355:SSH655361 SIL655355:SIL655361 RYP655355:RYP655361 ROT655355:ROT655361 REX655355:REX655361 QVB655355:QVB655361 QLF655355:QLF655361 QBJ655355:QBJ655361 PRN655355:PRN655361 PHR655355:PHR655361 OXV655355:OXV655361 ONZ655355:ONZ655361 OED655355:OED655361 NUH655355:NUH655361 NKL655355:NKL655361 NAP655355:NAP655361 MQT655355:MQT655361 MGX655355:MGX655361 LXB655355:LXB655361 LNF655355:LNF655361 LDJ655355:LDJ655361 KTN655355:KTN655361 KJR655355:KJR655361 JZV655355:JZV655361 JPZ655355:JPZ655361 JGD655355:JGD655361 IWH655355:IWH655361 IML655355:IML655361 ICP655355:ICP655361 HST655355:HST655361 HIX655355:HIX655361 GZB655355:GZB655361 GPF655355:GPF655361 GFJ655355:GFJ655361 FVN655355:FVN655361 FLR655355:FLR655361 FBV655355:FBV655361 ERZ655355:ERZ655361 EID655355:EID655361 DYH655355:DYH655361 DOL655355:DOL655361 DEP655355:DEP655361 CUT655355:CUT655361 CKX655355:CKX655361 CBB655355:CBB655361 BRF655355:BRF655361 BHJ655355:BHJ655361 AXN655355:AXN655361 ANR655355:ANR655361 ADV655355:ADV655361 TZ655355:TZ655361 KD655355:KD655361 WWP589819:WWP589825 WMT589819:WMT589825 WCX589819:WCX589825 VTB589819:VTB589825 VJF589819:VJF589825 UZJ589819:UZJ589825 UPN589819:UPN589825 UFR589819:UFR589825 TVV589819:TVV589825 TLZ589819:TLZ589825 TCD589819:TCD589825 SSH589819:SSH589825 SIL589819:SIL589825 RYP589819:RYP589825 ROT589819:ROT589825 REX589819:REX589825 QVB589819:QVB589825 QLF589819:QLF589825 QBJ589819:QBJ589825 PRN589819:PRN589825 PHR589819:PHR589825 OXV589819:OXV589825 ONZ589819:ONZ589825 OED589819:OED589825 NUH589819:NUH589825 NKL589819:NKL589825 NAP589819:NAP589825 MQT589819:MQT589825 MGX589819:MGX589825 LXB589819:LXB589825 LNF589819:LNF589825 LDJ589819:LDJ589825 KTN589819:KTN589825 KJR589819:KJR589825 JZV589819:JZV589825 JPZ589819:JPZ589825 JGD589819:JGD589825 IWH589819:IWH589825 IML589819:IML589825 ICP589819:ICP589825 HST589819:HST589825 HIX589819:HIX589825 GZB589819:GZB589825 GPF589819:GPF589825 GFJ589819:GFJ589825 FVN589819:FVN589825 FLR589819:FLR589825 FBV589819:FBV589825 ERZ589819:ERZ589825 EID589819:EID589825 DYH589819:DYH589825 DOL589819:DOL589825 DEP589819:DEP589825 CUT589819:CUT589825 CKX589819:CKX589825 CBB589819:CBB589825 BRF589819:BRF589825 BHJ589819:BHJ589825 AXN589819:AXN589825 ANR589819:ANR589825 ADV589819:ADV589825 TZ589819:TZ589825 KD589819:KD589825 WWP524283:WWP524289 WMT524283:WMT524289 WCX524283:WCX524289 VTB524283:VTB524289 VJF524283:VJF524289 UZJ524283:UZJ524289 UPN524283:UPN524289 UFR524283:UFR524289 TVV524283:TVV524289 TLZ524283:TLZ524289 TCD524283:TCD524289 SSH524283:SSH524289 SIL524283:SIL524289 RYP524283:RYP524289 ROT524283:ROT524289 REX524283:REX524289 QVB524283:QVB524289 QLF524283:QLF524289 QBJ524283:QBJ524289 PRN524283:PRN524289 PHR524283:PHR524289 OXV524283:OXV524289 ONZ524283:ONZ524289 OED524283:OED524289 NUH524283:NUH524289 NKL524283:NKL524289 NAP524283:NAP524289 MQT524283:MQT524289 MGX524283:MGX524289 LXB524283:LXB524289 LNF524283:LNF524289 LDJ524283:LDJ524289 KTN524283:KTN524289 KJR524283:KJR524289 JZV524283:JZV524289 JPZ524283:JPZ524289 JGD524283:JGD524289 IWH524283:IWH524289 IML524283:IML524289 ICP524283:ICP524289 HST524283:HST524289 HIX524283:HIX524289 GZB524283:GZB524289 GPF524283:GPF524289 GFJ524283:GFJ524289 FVN524283:FVN524289 FLR524283:FLR524289 FBV524283:FBV524289 ERZ524283:ERZ524289 EID524283:EID524289 DYH524283:DYH524289 DOL524283:DOL524289 DEP524283:DEP524289 CUT524283:CUT524289 CKX524283:CKX524289 CBB524283:CBB524289 BRF524283:BRF524289 BHJ524283:BHJ524289 AXN524283:AXN524289 ANR524283:ANR524289 ADV524283:ADV524289 TZ524283:TZ524289 KD524283:KD524289 WWP458747:WWP458753 WMT458747:WMT458753 WCX458747:WCX458753 VTB458747:VTB458753 VJF458747:VJF458753 UZJ458747:UZJ458753 UPN458747:UPN458753 UFR458747:UFR458753 TVV458747:TVV458753 TLZ458747:TLZ458753 TCD458747:TCD458753 SSH458747:SSH458753 SIL458747:SIL458753 RYP458747:RYP458753 ROT458747:ROT458753 REX458747:REX458753 QVB458747:QVB458753 QLF458747:QLF458753 QBJ458747:QBJ458753 PRN458747:PRN458753 PHR458747:PHR458753 OXV458747:OXV458753 ONZ458747:ONZ458753 OED458747:OED458753 NUH458747:NUH458753 NKL458747:NKL458753 NAP458747:NAP458753 MQT458747:MQT458753 MGX458747:MGX458753 LXB458747:LXB458753 LNF458747:LNF458753 LDJ458747:LDJ458753 KTN458747:KTN458753 KJR458747:KJR458753 JZV458747:JZV458753 JPZ458747:JPZ458753 JGD458747:JGD458753 IWH458747:IWH458753 IML458747:IML458753 ICP458747:ICP458753 HST458747:HST458753 HIX458747:HIX458753 GZB458747:GZB458753 GPF458747:GPF458753 GFJ458747:GFJ458753 FVN458747:FVN458753 FLR458747:FLR458753 FBV458747:FBV458753 ERZ458747:ERZ458753 EID458747:EID458753 DYH458747:DYH458753 DOL458747:DOL458753 DEP458747:DEP458753 CUT458747:CUT458753 CKX458747:CKX458753 CBB458747:CBB458753 BRF458747:BRF458753 BHJ458747:BHJ458753 AXN458747:AXN458753 ANR458747:ANR458753 ADV458747:ADV458753 TZ458747:TZ458753 KD458747:KD458753 WWP393211:WWP393217 WMT393211:WMT393217 WCX393211:WCX393217 VTB393211:VTB393217 VJF393211:VJF393217 UZJ393211:UZJ393217 UPN393211:UPN393217 UFR393211:UFR393217 TVV393211:TVV393217 TLZ393211:TLZ393217 TCD393211:TCD393217 SSH393211:SSH393217 SIL393211:SIL393217 RYP393211:RYP393217 ROT393211:ROT393217 REX393211:REX393217 QVB393211:QVB393217 QLF393211:QLF393217 QBJ393211:QBJ393217 PRN393211:PRN393217 PHR393211:PHR393217 OXV393211:OXV393217 ONZ393211:ONZ393217 OED393211:OED393217 NUH393211:NUH393217 NKL393211:NKL393217 NAP393211:NAP393217 MQT393211:MQT393217 MGX393211:MGX393217 LXB393211:LXB393217 LNF393211:LNF393217 LDJ393211:LDJ393217 KTN393211:KTN393217 KJR393211:KJR393217 JZV393211:JZV393217 JPZ393211:JPZ393217 JGD393211:JGD393217 IWH393211:IWH393217 IML393211:IML393217 ICP393211:ICP393217 HST393211:HST393217 HIX393211:HIX393217 GZB393211:GZB393217 GPF393211:GPF393217 GFJ393211:GFJ393217 FVN393211:FVN393217 FLR393211:FLR393217 FBV393211:FBV393217 ERZ393211:ERZ393217 EID393211:EID393217 DYH393211:DYH393217 DOL393211:DOL393217 DEP393211:DEP393217 CUT393211:CUT393217 CKX393211:CKX393217 CBB393211:CBB393217 BRF393211:BRF393217 BHJ393211:BHJ393217 AXN393211:AXN393217 ANR393211:ANR393217 ADV393211:ADV393217 TZ393211:TZ393217 KD393211:KD393217 WWP327675:WWP327681 WMT327675:WMT327681 WCX327675:WCX327681 VTB327675:VTB327681 VJF327675:VJF327681 UZJ327675:UZJ327681 UPN327675:UPN327681 UFR327675:UFR327681 TVV327675:TVV327681 TLZ327675:TLZ327681 TCD327675:TCD327681 SSH327675:SSH327681 SIL327675:SIL327681 RYP327675:RYP327681 ROT327675:ROT327681 REX327675:REX327681 QVB327675:QVB327681 QLF327675:QLF327681 QBJ327675:QBJ327681 PRN327675:PRN327681 PHR327675:PHR327681 OXV327675:OXV327681 ONZ327675:ONZ327681 OED327675:OED327681 NUH327675:NUH327681 NKL327675:NKL327681 NAP327675:NAP327681 MQT327675:MQT327681 MGX327675:MGX327681 LXB327675:LXB327681 LNF327675:LNF327681 LDJ327675:LDJ327681 KTN327675:KTN327681 KJR327675:KJR327681 JZV327675:JZV327681 JPZ327675:JPZ327681 JGD327675:JGD327681 IWH327675:IWH327681 IML327675:IML327681 ICP327675:ICP327681 HST327675:HST327681 HIX327675:HIX327681 GZB327675:GZB327681 GPF327675:GPF327681 GFJ327675:GFJ327681 FVN327675:FVN327681 FLR327675:FLR327681 FBV327675:FBV327681 ERZ327675:ERZ327681 EID327675:EID327681 DYH327675:DYH327681 DOL327675:DOL327681 DEP327675:DEP327681 CUT327675:CUT327681 CKX327675:CKX327681 CBB327675:CBB327681 BRF327675:BRF327681 BHJ327675:BHJ327681 AXN327675:AXN327681 ANR327675:ANR327681 ADV327675:ADV327681 TZ327675:TZ327681 KD327675:KD327681 WWP262139:WWP262145 WMT262139:WMT262145 WCX262139:WCX262145 VTB262139:VTB262145 VJF262139:VJF262145 UZJ262139:UZJ262145 UPN262139:UPN262145 UFR262139:UFR262145 TVV262139:TVV262145 TLZ262139:TLZ262145 TCD262139:TCD262145 SSH262139:SSH262145 SIL262139:SIL262145 RYP262139:RYP262145 ROT262139:ROT262145 REX262139:REX262145 QVB262139:QVB262145 QLF262139:QLF262145 QBJ262139:QBJ262145 PRN262139:PRN262145 PHR262139:PHR262145 OXV262139:OXV262145 ONZ262139:ONZ262145 OED262139:OED262145 NUH262139:NUH262145 NKL262139:NKL262145 NAP262139:NAP262145 MQT262139:MQT262145 MGX262139:MGX262145 LXB262139:LXB262145 LNF262139:LNF262145 LDJ262139:LDJ262145 KTN262139:KTN262145 KJR262139:KJR262145 JZV262139:JZV262145 JPZ262139:JPZ262145 JGD262139:JGD262145 IWH262139:IWH262145 IML262139:IML262145 ICP262139:ICP262145 HST262139:HST262145 HIX262139:HIX262145 GZB262139:GZB262145 GPF262139:GPF262145 GFJ262139:GFJ262145 FVN262139:FVN262145 FLR262139:FLR262145 FBV262139:FBV262145 ERZ262139:ERZ262145 EID262139:EID262145 DYH262139:DYH262145 DOL262139:DOL262145 DEP262139:DEP262145 CUT262139:CUT262145 CKX262139:CKX262145 CBB262139:CBB262145 BRF262139:BRF262145 BHJ262139:BHJ262145 AXN262139:AXN262145 ANR262139:ANR262145 ADV262139:ADV262145 TZ262139:TZ262145 KD262139:KD262145 WWP196603:WWP196609 WMT196603:WMT196609 WCX196603:WCX196609 VTB196603:VTB196609 VJF196603:VJF196609 UZJ196603:UZJ196609 UPN196603:UPN196609 UFR196603:UFR196609 TVV196603:TVV196609 TLZ196603:TLZ196609 TCD196603:TCD196609 SSH196603:SSH196609 SIL196603:SIL196609 RYP196603:RYP196609 ROT196603:ROT196609 REX196603:REX196609 QVB196603:QVB196609 QLF196603:QLF196609 QBJ196603:QBJ196609 PRN196603:PRN196609 PHR196603:PHR196609 OXV196603:OXV196609 ONZ196603:ONZ196609 OED196603:OED196609 NUH196603:NUH196609 NKL196603:NKL196609 NAP196603:NAP196609 MQT196603:MQT196609 MGX196603:MGX196609 LXB196603:LXB196609 LNF196603:LNF196609 LDJ196603:LDJ196609 KTN196603:KTN196609 KJR196603:KJR196609 JZV196603:JZV196609 JPZ196603:JPZ196609 JGD196603:JGD196609 IWH196603:IWH196609 IML196603:IML196609 ICP196603:ICP196609 HST196603:HST196609 HIX196603:HIX196609 GZB196603:GZB196609 GPF196603:GPF196609 GFJ196603:GFJ196609 FVN196603:FVN196609 FLR196603:FLR196609 FBV196603:FBV196609 ERZ196603:ERZ196609 EID196603:EID196609 DYH196603:DYH196609 DOL196603:DOL196609 DEP196603:DEP196609 CUT196603:CUT196609 CKX196603:CKX196609 CBB196603:CBB196609 BRF196603:BRF196609 BHJ196603:BHJ196609 AXN196603:AXN196609 ANR196603:ANR196609 ADV196603:ADV196609 TZ196603:TZ196609 KD196603:KD196609 WWP131067:WWP131073 WMT131067:WMT131073 WCX131067:WCX131073 VTB131067:VTB131073 VJF131067:VJF131073 UZJ131067:UZJ131073 UPN131067:UPN131073 UFR131067:UFR131073 TVV131067:TVV131073 TLZ131067:TLZ131073 TCD131067:TCD131073 SSH131067:SSH131073 SIL131067:SIL131073 RYP131067:RYP131073 ROT131067:ROT131073 REX131067:REX131073 QVB131067:QVB131073 QLF131067:QLF131073 QBJ131067:QBJ131073 PRN131067:PRN131073 PHR131067:PHR131073 OXV131067:OXV131073 ONZ131067:ONZ131073 OED131067:OED131073 NUH131067:NUH131073 NKL131067:NKL131073 NAP131067:NAP131073 MQT131067:MQT131073 MGX131067:MGX131073 LXB131067:LXB131073 LNF131067:LNF131073 LDJ131067:LDJ131073 KTN131067:KTN131073 KJR131067:KJR131073 JZV131067:JZV131073 JPZ131067:JPZ131073 JGD131067:JGD131073 IWH131067:IWH131073 IML131067:IML131073 ICP131067:ICP131073 HST131067:HST131073 HIX131067:HIX131073 GZB131067:GZB131073 GPF131067:GPF131073 GFJ131067:GFJ131073 FVN131067:FVN131073 FLR131067:FLR131073 FBV131067:FBV131073 ERZ131067:ERZ131073 EID131067:EID131073 DYH131067:DYH131073 DOL131067:DOL131073 DEP131067:DEP131073 CUT131067:CUT131073 CKX131067:CKX131073 CBB131067:CBB131073 BRF131067:BRF131073 BHJ131067:BHJ131073 AXN131067:AXN131073 ANR131067:ANR131073 ADV131067:ADV131073 TZ131067:TZ131073 KD131067:KD131073 WWP65531:WWP65537 WMT65531:WMT65537 WCX65531:WCX65537 VTB65531:VTB65537 VJF65531:VJF65537 UZJ65531:UZJ65537 UPN65531:UPN65537 UFR65531:UFR65537 TVV65531:TVV65537 TLZ65531:TLZ65537 TCD65531:TCD65537 SSH65531:SSH65537 SIL65531:SIL65537 RYP65531:RYP65537 ROT65531:ROT65537 REX65531:REX65537 QVB65531:QVB65537 QLF65531:QLF65537 QBJ65531:QBJ65537 PRN65531:PRN65537 PHR65531:PHR65537 OXV65531:OXV65537 ONZ65531:ONZ65537 OED65531:OED65537 NUH65531:NUH65537 NKL65531:NKL65537 NAP65531:NAP65537 MQT65531:MQT65537 MGX65531:MGX65537 LXB65531:LXB65537 LNF65531:LNF65537 LDJ65531:LDJ65537 KTN65531:KTN65537 KJR65531:KJR65537 JZV65531:JZV65537 JPZ65531:JPZ65537 JGD65531:JGD65537 IWH65531:IWH65537 IML65531:IML65537 ICP65531:ICP65537 HST65531:HST65537 HIX65531:HIX65537 GZB65531:GZB65537 GPF65531:GPF65537 GFJ65531:GFJ65537 FVN65531:FVN65537 FLR65531:FLR65537 FBV65531:FBV65537 ERZ65531:ERZ65537 EID65531:EID65537 DYH65531:DYH65537 DOL65531:DOL65537 DEP65531:DEP65537 CUT65531:CUT65537 CKX65531:CKX65537 CBB65531:CBB65537 BRF65531:BRF65537 BHJ65531:BHJ65537 AXN65531:AXN65537 ANR65531:ANR65537 ADV65531:ADV65537 TZ65531:TZ65537 KD65531:KD65537" xr:uid="{00000000-0002-0000-0E00-000000000000}">
      <formula1>#REF!</formula1>
    </dataValidation>
  </dataValidations>
  <printOptions horizontalCentered="1"/>
  <pageMargins left="0.51181102362204722" right="0.51181102362204722" top="0.98425196850393704" bottom="0.78740157480314965" header="0.31496062992125984" footer="0.31496062992125984"/>
  <pageSetup paperSize="8" scale="46" fitToHeight="0" orientation="landscape" r:id="rId1"/>
  <headerFooter>
    <oddHeader>&amp;L&amp;G&amp;R&amp;G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D4:L13"/>
  <sheetViews>
    <sheetView showGridLines="0" view="pageBreakPreview" zoomScale="115" zoomScaleNormal="100" zoomScaleSheetLayoutView="115" workbookViewId="0">
      <selection activeCell="H15" sqref="H15"/>
    </sheetView>
  </sheetViews>
  <sheetFormatPr defaultColWidth="10.6640625" defaultRowHeight="15" x14ac:dyDescent="0.2"/>
  <cols>
    <col min="1" max="3" width="10.6640625" style="139"/>
    <col min="4" max="4" width="29" style="139" bestFit="1" customWidth="1"/>
    <col min="5" max="5" width="18" style="139" customWidth="1"/>
    <col min="6" max="6" width="15" style="139" customWidth="1"/>
    <col min="7" max="7" width="14.1640625" style="139" customWidth="1"/>
    <col min="8" max="8" width="13.83203125" style="139" customWidth="1"/>
    <col min="9" max="9" width="15.1640625" style="139" customWidth="1"/>
    <col min="10" max="10" width="14.1640625" style="139" customWidth="1"/>
    <col min="11" max="11" width="13.83203125" style="139" customWidth="1"/>
    <col min="12" max="12" width="15.1640625" style="139" customWidth="1"/>
    <col min="13" max="13" width="12.1640625" style="139" customWidth="1"/>
    <col min="14" max="14" width="1" style="139" customWidth="1"/>
    <col min="15" max="15" width="16" style="139" customWidth="1"/>
    <col min="16" max="16" width="11.1640625" style="139" customWidth="1"/>
    <col min="17" max="18" width="12.33203125" style="139" customWidth="1"/>
    <col min="19" max="19" width="17.5" style="139" customWidth="1"/>
    <col min="20" max="20" width="10.6640625" style="139" customWidth="1"/>
    <col min="21" max="21" width="1.83203125" style="139" customWidth="1"/>
    <col min="22" max="22" width="17.5" style="139" customWidth="1"/>
    <col min="23" max="23" width="10.6640625" style="139" customWidth="1"/>
    <col min="24" max="16384" width="10.6640625" style="139"/>
  </cols>
  <sheetData>
    <row r="4" spans="4:12" ht="24.75" customHeight="1" x14ac:dyDescent="0.2">
      <c r="D4" s="787" t="s">
        <v>1078</v>
      </c>
      <c r="E4" s="788"/>
      <c r="F4" s="788"/>
      <c r="G4" s="788"/>
      <c r="H4" s="788"/>
      <c r="I4" s="788"/>
      <c r="J4" s="788"/>
      <c r="K4" s="788"/>
      <c r="L4" s="789"/>
    </row>
    <row r="5" spans="4:12" ht="60" x14ac:dyDescent="0.2">
      <c r="D5" s="144" t="s">
        <v>305</v>
      </c>
      <c r="E5" s="140" t="s">
        <v>89</v>
      </c>
      <c r="F5" s="140" t="s">
        <v>312</v>
      </c>
      <c r="G5" s="140" t="s">
        <v>306</v>
      </c>
      <c r="H5" s="140" t="s">
        <v>307</v>
      </c>
      <c r="I5" s="140" t="s">
        <v>425</v>
      </c>
      <c r="J5" s="146" t="s">
        <v>308</v>
      </c>
      <c r="K5" s="146" t="s">
        <v>309</v>
      </c>
      <c r="L5" s="147" t="s">
        <v>426</v>
      </c>
    </row>
    <row r="6" spans="4:12" ht="21.95" customHeight="1" x14ac:dyDescent="0.2">
      <c r="D6" s="416" t="s">
        <v>424</v>
      </c>
      <c r="E6" s="534">
        <f>'PAVIMENTAÇÃO ACESSO'!AJ7</f>
        <v>2689.43</v>
      </c>
      <c r="F6" s="141" t="s">
        <v>2</v>
      </c>
      <c r="G6" s="161">
        <v>0</v>
      </c>
      <c r="H6" s="142">
        <v>0</v>
      </c>
      <c r="I6" s="142">
        <v>1</v>
      </c>
      <c r="J6" s="148">
        <f>TRUNC(E6*G6,2)</f>
        <v>0</v>
      </c>
      <c r="K6" s="148">
        <f>H6</f>
        <v>0</v>
      </c>
      <c r="L6" s="149">
        <f>TRUNC(E6*I6,2)</f>
        <v>2689.43</v>
      </c>
    </row>
    <row r="7" spans="4:12" ht="21.95" customHeight="1" x14ac:dyDescent="0.2">
      <c r="D7" s="159" t="s">
        <v>318</v>
      </c>
      <c r="E7" s="157">
        <f>'PAVIMENTAÇÃO ACESSO'!AK7</f>
        <v>41</v>
      </c>
      <c r="F7" s="160" t="s">
        <v>4</v>
      </c>
      <c r="G7" s="162">
        <v>6.1499999999999999E-2</v>
      </c>
      <c r="H7" s="158">
        <v>0</v>
      </c>
      <c r="I7" s="158">
        <v>0</v>
      </c>
      <c r="J7" s="148">
        <f>TRUNC(E7*G7,2)</f>
        <v>2.52</v>
      </c>
      <c r="K7" s="148">
        <f>H7</f>
        <v>0</v>
      </c>
      <c r="L7" s="149">
        <f>TRUNC(E7*I7,2)</f>
        <v>0</v>
      </c>
    </row>
    <row r="8" spans="4:12" ht="21.95" customHeight="1" thickBot="1" x14ac:dyDescent="0.25">
      <c r="D8" s="790" t="s">
        <v>55</v>
      </c>
      <c r="E8" s="791"/>
      <c r="F8" s="791"/>
      <c r="G8" s="791"/>
      <c r="H8" s="791"/>
      <c r="I8" s="791"/>
      <c r="J8" s="150">
        <f>SUM(J6:J7)</f>
        <v>2.52</v>
      </c>
      <c r="K8" s="150">
        <f>SUM(K6:K7)</f>
        <v>0</v>
      </c>
      <c r="L8" s="151">
        <f>SUM(L6:L7)</f>
        <v>2689.43</v>
      </c>
    </row>
    <row r="9" spans="4:12" ht="21.95" customHeight="1" x14ac:dyDescent="0.2"/>
    <row r="10" spans="4:12" ht="21.95" customHeight="1" x14ac:dyDescent="0.2">
      <c r="I10" s="143" t="s">
        <v>319</v>
      </c>
      <c r="J10" s="152">
        <f>TRUNC((J8+K8+(L8*J11))*1.3,2)</f>
        <v>178.08</v>
      </c>
      <c r="K10" s="153" t="s">
        <v>3</v>
      </c>
    </row>
    <row r="11" spans="4:12" ht="21.95" customHeight="1" x14ac:dyDescent="0.2">
      <c r="I11" s="143" t="s">
        <v>544</v>
      </c>
      <c r="J11" s="152">
        <v>0.05</v>
      </c>
      <c r="K11" s="153" t="s">
        <v>4</v>
      </c>
    </row>
    <row r="12" spans="4:12" ht="21.95" customHeight="1" x14ac:dyDescent="0.2">
      <c r="I12" s="143" t="s">
        <v>310</v>
      </c>
      <c r="J12" s="152">
        <f>DMT!F12</f>
        <v>12.2</v>
      </c>
      <c r="K12" s="153" t="s">
        <v>81</v>
      </c>
    </row>
    <row r="13" spans="4:12" ht="21.95" customHeight="1" x14ac:dyDescent="0.2">
      <c r="I13" s="143" t="s">
        <v>311</v>
      </c>
      <c r="J13" s="152">
        <f>TRUNC(J10*J12,2)</f>
        <v>2172.5700000000002</v>
      </c>
      <c r="K13" s="153" t="s">
        <v>21</v>
      </c>
    </row>
  </sheetData>
  <mergeCells count="2">
    <mergeCell ref="D4:L4"/>
    <mergeCell ref="D8:I8"/>
  </mergeCells>
  <printOptions horizontalCentered="1"/>
  <pageMargins left="0.51181102362204722" right="0.51181102362204722" top="1.1811023622047245" bottom="0.78740157480314965" header="0.31496062992125984" footer="0.31496062992125984"/>
  <pageSetup paperSize="9" scale="70" orientation="portrait" r:id="rId1"/>
  <headerFooter>
    <oddHeader>&amp;L&amp;G&amp;R&amp;G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B2:J32"/>
  <sheetViews>
    <sheetView showGridLines="0" view="pageBreakPreview" zoomScaleNormal="85" zoomScaleSheetLayoutView="100" workbookViewId="0">
      <selection activeCell="F8" sqref="F8"/>
    </sheetView>
  </sheetViews>
  <sheetFormatPr defaultColWidth="10.6640625" defaultRowHeight="39.950000000000003" customHeight="1" x14ac:dyDescent="0.25"/>
  <cols>
    <col min="1" max="1" width="10.6640625" style="417"/>
    <col min="2" max="2" width="31.33203125" style="417" bestFit="1" customWidth="1"/>
    <col min="3" max="14" width="25" style="417" customWidth="1"/>
    <col min="15" max="16384" width="10.6640625" style="417"/>
  </cols>
  <sheetData>
    <row r="2" spans="2:10" ht="39.950000000000003" customHeight="1" thickBot="1" x14ac:dyDescent="0.3">
      <c r="B2" s="773" t="s">
        <v>1084</v>
      </c>
      <c r="C2" s="774"/>
      <c r="D2" s="774"/>
      <c r="E2" s="774"/>
      <c r="F2" s="774"/>
      <c r="G2" s="774"/>
      <c r="H2" s="775"/>
    </row>
    <row r="3" spans="2:10" ht="39.950000000000003" customHeight="1" x14ac:dyDescent="0.25">
      <c r="B3" s="767" t="s">
        <v>434</v>
      </c>
      <c r="C3" s="768"/>
      <c r="D3" s="768"/>
      <c r="E3" s="768"/>
      <c r="F3" s="768"/>
      <c r="G3" s="768"/>
      <c r="H3" s="769"/>
    </row>
    <row r="4" spans="2:10" ht="39.950000000000003" customHeight="1" x14ac:dyDescent="0.25">
      <c r="B4" s="418" t="s">
        <v>53</v>
      </c>
      <c r="C4" s="419" t="s">
        <v>85</v>
      </c>
      <c r="D4" s="419" t="s">
        <v>86</v>
      </c>
      <c r="E4" s="419" t="s">
        <v>87</v>
      </c>
      <c r="F4" s="419" t="s">
        <v>88</v>
      </c>
      <c r="G4" s="419" t="s">
        <v>89</v>
      </c>
      <c r="H4" s="420" t="s">
        <v>54</v>
      </c>
    </row>
    <row r="5" spans="2:10" ht="58.5" customHeight="1" x14ac:dyDescent="0.25">
      <c r="B5" s="421" t="s">
        <v>435</v>
      </c>
      <c r="C5" s="422"/>
      <c r="D5" s="422" t="s">
        <v>90</v>
      </c>
      <c r="E5" s="422" t="s">
        <v>91</v>
      </c>
      <c r="F5" s="423">
        <v>0.1</v>
      </c>
      <c r="G5" s="423">
        <v>46.08</v>
      </c>
      <c r="H5" s="424">
        <f>F5*G5</f>
        <v>4.6079999999999997</v>
      </c>
    </row>
    <row r="6" spans="2:10" ht="58.5" customHeight="1" x14ac:dyDescent="0.25">
      <c r="B6" s="421" t="s">
        <v>466</v>
      </c>
      <c r="C6" s="422"/>
      <c r="D6" s="422" t="s">
        <v>94</v>
      </c>
      <c r="E6" s="422" t="s">
        <v>91</v>
      </c>
      <c r="F6" s="423">
        <v>0.1</v>
      </c>
      <c r="G6" s="423">
        <v>919.33</v>
      </c>
      <c r="H6" s="424">
        <f>G6*F6</f>
        <v>91.933000000000007</v>
      </c>
    </row>
    <row r="7" spans="2:10" s="33" customFormat="1" ht="54" customHeight="1" x14ac:dyDescent="0.25">
      <c r="B7" s="69" t="s">
        <v>446</v>
      </c>
      <c r="C7" s="68"/>
      <c r="D7" s="68" t="s">
        <v>94</v>
      </c>
      <c r="E7" s="68" t="s">
        <v>91</v>
      </c>
      <c r="F7" s="34">
        <v>0.1</v>
      </c>
      <c r="G7" s="34">
        <v>291.04000000000002</v>
      </c>
      <c r="H7" s="424">
        <f>F7*G7/3</f>
        <v>9.7013333333333343</v>
      </c>
    </row>
    <row r="8" spans="2:10" s="33" customFormat="1" ht="42" customHeight="1" x14ac:dyDescent="0.25">
      <c r="B8" s="69" t="s">
        <v>447</v>
      </c>
      <c r="C8" s="68"/>
      <c r="D8" s="68" t="s">
        <v>94</v>
      </c>
      <c r="E8" s="68" t="s">
        <v>91</v>
      </c>
      <c r="F8" s="34">
        <v>0.1</v>
      </c>
      <c r="G8" s="34">
        <v>60</v>
      </c>
      <c r="H8" s="424">
        <f t="shared" ref="H8" si="0">F8*G8</f>
        <v>6</v>
      </c>
    </row>
    <row r="9" spans="2:10" ht="39.950000000000003" customHeight="1" x14ac:dyDescent="0.25">
      <c r="B9" s="425" t="s">
        <v>55</v>
      </c>
      <c r="C9" s="426"/>
      <c r="D9" s="426"/>
      <c r="E9" s="426"/>
      <c r="F9" s="426"/>
      <c r="G9" s="427">
        <f>SUM(G5:G8)</f>
        <v>1316.45</v>
      </c>
      <c r="H9" s="428"/>
    </row>
    <row r="10" spans="2:10" ht="39.950000000000003" customHeight="1" x14ac:dyDescent="0.25">
      <c r="B10" s="770" t="s">
        <v>92</v>
      </c>
      <c r="C10" s="771"/>
      <c r="D10" s="771"/>
      <c r="E10" s="771"/>
      <c r="F10" s="771"/>
      <c r="G10" s="771"/>
      <c r="H10" s="772"/>
    </row>
    <row r="11" spans="2:10" ht="39.950000000000003" customHeight="1" x14ac:dyDescent="0.25">
      <c r="B11" s="418" t="s">
        <v>53</v>
      </c>
      <c r="C11" s="419" t="s">
        <v>85</v>
      </c>
      <c r="D11" s="419" t="s">
        <v>86</v>
      </c>
      <c r="E11" s="419" t="s">
        <v>93</v>
      </c>
      <c r="F11" s="419" t="s">
        <v>88</v>
      </c>
      <c r="G11" s="419" t="s">
        <v>89</v>
      </c>
      <c r="H11" s="420" t="s">
        <v>54</v>
      </c>
    </row>
    <row r="12" spans="2:10" ht="39.950000000000003" customHeight="1" x14ac:dyDescent="0.25">
      <c r="B12" s="429" t="s">
        <v>56</v>
      </c>
      <c r="C12" s="427"/>
      <c r="D12" s="427" t="s">
        <v>94</v>
      </c>
      <c r="E12" s="427">
        <v>1.45</v>
      </c>
      <c r="F12" s="427" t="s">
        <v>95</v>
      </c>
      <c r="G12" s="427">
        <v>0</v>
      </c>
      <c r="H12" s="428">
        <f>G12*E12</f>
        <v>0</v>
      </c>
      <c r="J12" s="430">
        <f>+H13+H14+H17+H18</f>
        <v>159.71999999999997</v>
      </c>
    </row>
    <row r="13" spans="2:10" ht="39.950000000000003" customHeight="1" x14ac:dyDescent="0.25">
      <c r="B13" s="431" t="s">
        <v>96</v>
      </c>
      <c r="C13" s="423"/>
      <c r="D13" s="427" t="s">
        <v>94</v>
      </c>
      <c r="E13" s="423" t="s">
        <v>95</v>
      </c>
      <c r="F13" s="423">
        <v>0.4</v>
      </c>
      <c r="G13" s="423">
        <v>18.61</v>
      </c>
      <c r="H13" s="428">
        <f>G13*F13</f>
        <v>7.444</v>
      </c>
      <c r="J13" s="430">
        <f>H19-J12</f>
        <v>25.200000000000017</v>
      </c>
    </row>
    <row r="14" spans="2:10" ht="39.950000000000003" customHeight="1" x14ac:dyDescent="0.25">
      <c r="B14" s="431" t="s">
        <v>98</v>
      </c>
      <c r="C14" s="423"/>
      <c r="D14" s="427" t="s">
        <v>94</v>
      </c>
      <c r="E14" s="423">
        <v>1.6</v>
      </c>
      <c r="F14" s="423">
        <v>0.4</v>
      </c>
      <c r="G14" s="423">
        <v>0</v>
      </c>
      <c r="H14" s="428">
        <f>G14*F14</f>
        <v>0</v>
      </c>
    </row>
    <row r="15" spans="2:10" ht="61.5" customHeight="1" x14ac:dyDescent="0.25">
      <c r="B15" s="431" t="s">
        <v>97</v>
      </c>
      <c r="C15" s="423"/>
      <c r="D15" s="427" t="s">
        <v>94</v>
      </c>
      <c r="E15" s="423">
        <v>1.0900000000000001</v>
      </c>
      <c r="F15" s="423" t="s">
        <v>95</v>
      </c>
      <c r="G15" s="423">
        <v>12</v>
      </c>
      <c r="H15" s="428">
        <f>G15*E15</f>
        <v>13.080000000000002</v>
      </c>
      <c r="I15" s="430"/>
    </row>
    <row r="16" spans="2:10" ht="61.5" customHeight="1" x14ac:dyDescent="0.25">
      <c r="B16" s="431" t="s">
        <v>437</v>
      </c>
      <c r="C16" s="423"/>
      <c r="D16" s="427" t="s">
        <v>94</v>
      </c>
      <c r="E16" s="423">
        <v>2.02</v>
      </c>
      <c r="F16" s="423" t="s">
        <v>95</v>
      </c>
      <c r="G16" s="423">
        <v>6</v>
      </c>
      <c r="H16" s="428">
        <f>G16*E16</f>
        <v>12.120000000000001</v>
      </c>
      <c r="I16" s="430"/>
    </row>
    <row r="17" spans="2:8" ht="61.5" customHeight="1" x14ac:dyDescent="0.25">
      <c r="B17" s="431" t="s">
        <v>464</v>
      </c>
      <c r="C17" s="423"/>
      <c r="D17" s="427" t="s">
        <v>94</v>
      </c>
      <c r="E17" s="423">
        <v>0.3</v>
      </c>
      <c r="F17" s="423"/>
      <c r="G17" s="423">
        <v>420.96</v>
      </c>
      <c r="H17" s="428">
        <f>G17*E17</f>
        <v>126.28799999999998</v>
      </c>
    </row>
    <row r="18" spans="2:8" ht="61.5" customHeight="1" x14ac:dyDescent="0.25">
      <c r="B18" s="431" t="s">
        <v>465</v>
      </c>
      <c r="C18" s="423"/>
      <c r="D18" s="427" t="s">
        <v>94</v>
      </c>
      <c r="E18" s="423">
        <v>0.1</v>
      </c>
      <c r="F18" s="423"/>
      <c r="G18" s="423">
        <v>259.88</v>
      </c>
      <c r="H18" s="428">
        <f>G18*E18</f>
        <v>25.988</v>
      </c>
    </row>
    <row r="19" spans="2:8" ht="39.950000000000003" customHeight="1" x14ac:dyDescent="0.25">
      <c r="B19" s="432" t="s">
        <v>55</v>
      </c>
      <c r="C19" s="433"/>
      <c r="D19" s="433"/>
      <c r="E19" s="433"/>
      <c r="F19" s="433"/>
      <c r="G19" s="433"/>
      <c r="H19" s="428">
        <f>SUM(H12:H18)</f>
        <v>184.92</v>
      </c>
    </row>
    <row r="20" spans="2:8" ht="39.950000000000003" customHeight="1" x14ac:dyDescent="0.25">
      <c r="B20" s="770" t="s">
        <v>438</v>
      </c>
      <c r="C20" s="771"/>
      <c r="D20" s="771"/>
      <c r="E20" s="771"/>
      <c r="F20" s="771"/>
      <c r="G20" s="771"/>
      <c r="H20" s="772"/>
    </row>
    <row r="21" spans="2:8" ht="39.950000000000003" customHeight="1" x14ac:dyDescent="0.25">
      <c r="B21" s="418" t="s">
        <v>53</v>
      </c>
      <c r="C21" s="419" t="s">
        <v>57</v>
      </c>
      <c r="D21" s="419" t="s">
        <v>58</v>
      </c>
      <c r="E21" s="419" t="s">
        <v>59</v>
      </c>
      <c r="F21" s="419" t="s">
        <v>60</v>
      </c>
      <c r="G21" s="419" t="s">
        <v>61</v>
      </c>
      <c r="H21" s="420" t="s">
        <v>54</v>
      </c>
    </row>
    <row r="22" spans="2:8" ht="39.950000000000003" customHeight="1" x14ac:dyDescent="0.25">
      <c r="B22" s="429" t="s">
        <v>440</v>
      </c>
      <c r="C22" s="427"/>
      <c r="D22" s="427" t="s">
        <v>63</v>
      </c>
      <c r="E22" s="427" t="s">
        <v>441</v>
      </c>
      <c r="F22" s="427">
        <v>3</v>
      </c>
      <c r="G22" s="427">
        <v>0.19600000000000001</v>
      </c>
      <c r="H22" s="428">
        <f t="shared" ref="H22:H27" si="1">F22*G22</f>
        <v>0.58800000000000008</v>
      </c>
    </row>
    <row r="23" spans="2:8" ht="39.950000000000003" customHeight="1" x14ac:dyDescent="0.25">
      <c r="B23" s="429" t="s">
        <v>454</v>
      </c>
      <c r="C23" s="427"/>
      <c r="D23" s="427" t="s">
        <v>455</v>
      </c>
      <c r="E23" s="427" t="s">
        <v>441</v>
      </c>
      <c r="F23" s="427">
        <v>2</v>
      </c>
      <c r="G23" s="427">
        <v>0.19600000000000001</v>
      </c>
      <c r="H23" s="428">
        <f t="shared" si="1"/>
        <v>0.39200000000000002</v>
      </c>
    </row>
    <row r="24" spans="2:8" ht="39.950000000000003" customHeight="1" x14ac:dyDescent="0.25">
      <c r="B24" s="429" t="s">
        <v>456</v>
      </c>
      <c r="C24" s="427"/>
      <c r="D24" s="427" t="s">
        <v>457</v>
      </c>
      <c r="E24" s="427" t="s">
        <v>458</v>
      </c>
      <c r="F24" s="427">
        <v>2</v>
      </c>
      <c r="G24" s="427">
        <v>0.27</v>
      </c>
      <c r="H24" s="428">
        <f t="shared" si="1"/>
        <v>0.54</v>
      </c>
    </row>
    <row r="25" spans="2:8" ht="39.950000000000003" customHeight="1" x14ac:dyDescent="0.25">
      <c r="B25" s="429" t="s">
        <v>459</v>
      </c>
      <c r="C25" s="427"/>
      <c r="D25" s="427" t="s">
        <v>460</v>
      </c>
      <c r="E25" s="427" t="s">
        <v>458</v>
      </c>
      <c r="F25" s="427">
        <v>2</v>
      </c>
      <c r="G25" s="427">
        <v>0.27</v>
      </c>
      <c r="H25" s="428">
        <f t="shared" si="1"/>
        <v>0.54</v>
      </c>
    </row>
    <row r="26" spans="2:8" ht="54.75" customHeight="1" x14ac:dyDescent="0.25">
      <c r="B26" s="429" t="s">
        <v>97</v>
      </c>
      <c r="C26" s="427"/>
      <c r="D26" s="427" t="s">
        <v>461</v>
      </c>
      <c r="E26" s="427" t="s">
        <v>441</v>
      </c>
      <c r="F26" s="427">
        <v>1</v>
      </c>
      <c r="G26" s="427">
        <v>0.19600000000000001</v>
      </c>
      <c r="H26" s="428">
        <f t="shared" si="1"/>
        <v>0.19600000000000001</v>
      </c>
    </row>
    <row r="27" spans="2:8" ht="39.950000000000003" customHeight="1" x14ac:dyDescent="0.25">
      <c r="B27" s="429" t="s">
        <v>462</v>
      </c>
      <c r="C27" s="427"/>
      <c r="D27" s="427" t="s">
        <v>463</v>
      </c>
      <c r="E27" s="427" t="s">
        <v>441</v>
      </c>
      <c r="F27" s="427">
        <v>2</v>
      </c>
      <c r="G27" s="427">
        <v>0.19600000000000001</v>
      </c>
      <c r="H27" s="428">
        <f t="shared" si="1"/>
        <v>0.39200000000000002</v>
      </c>
    </row>
    <row r="28" spans="2:8" ht="61.5" customHeight="1" x14ac:dyDescent="0.25">
      <c r="B28" s="429" t="s">
        <v>475</v>
      </c>
      <c r="C28" s="427"/>
      <c r="D28" s="427" t="s">
        <v>467</v>
      </c>
      <c r="E28" s="427" t="s">
        <v>471</v>
      </c>
      <c r="F28" s="427">
        <v>1</v>
      </c>
      <c r="G28" s="427">
        <f>2.4*1.7</f>
        <v>4.08</v>
      </c>
      <c r="H28" s="428">
        <f t="shared" ref="H28:H31" si="2">F28*G28</f>
        <v>4.08</v>
      </c>
    </row>
    <row r="29" spans="2:8" ht="51.75" customHeight="1" x14ac:dyDescent="0.25">
      <c r="B29" s="429" t="s">
        <v>475</v>
      </c>
      <c r="C29" s="427"/>
      <c r="D29" s="427" t="s">
        <v>468</v>
      </c>
      <c r="E29" s="427" t="s">
        <v>472</v>
      </c>
      <c r="F29" s="427">
        <v>1</v>
      </c>
      <c r="G29" s="427">
        <f>2.4*1.5</f>
        <v>3.5999999999999996</v>
      </c>
      <c r="H29" s="428">
        <f t="shared" si="2"/>
        <v>3.5999999999999996</v>
      </c>
    </row>
    <row r="30" spans="2:8" ht="66" customHeight="1" x14ac:dyDescent="0.25">
      <c r="B30" s="429" t="s">
        <v>475</v>
      </c>
      <c r="C30" s="427"/>
      <c r="D30" s="427" t="s">
        <v>469</v>
      </c>
      <c r="E30" s="427" t="s">
        <v>473</v>
      </c>
      <c r="F30" s="427">
        <v>1</v>
      </c>
      <c r="G30" s="427">
        <f>1.7*0.7</f>
        <v>1.19</v>
      </c>
      <c r="H30" s="428">
        <f t="shared" si="2"/>
        <v>1.19</v>
      </c>
    </row>
    <row r="31" spans="2:8" ht="61.5" customHeight="1" x14ac:dyDescent="0.25">
      <c r="B31" s="429" t="s">
        <v>475</v>
      </c>
      <c r="C31" s="427"/>
      <c r="D31" s="427" t="s">
        <v>470</v>
      </c>
      <c r="E31" s="427" t="s">
        <v>474</v>
      </c>
      <c r="F31" s="427">
        <v>1</v>
      </c>
      <c r="G31" s="427">
        <f>1.65*0.45</f>
        <v>0.74249999999999994</v>
      </c>
      <c r="H31" s="428">
        <f t="shared" si="2"/>
        <v>0.74249999999999994</v>
      </c>
    </row>
    <row r="32" spans="2:8" ht="39.950000000000003" customHeight="1" thickBot="1" x14ac:dyDescent="0.3">
      <c r="B32" s="487" t="s">
        <v>55</v>
      </c>
      <c r="C32" s="488"/>
      <c r="D32" s="488"/>
      <c r="E32" s="488"/>
      <c r="F32" s="437">
        <f>SUM(F22:F31)</f>
        <v>16</v>
      </c>
      <c r="G32" s="488"/>
      <c r="H32" s="489"/>
    </row>
  </sheetData>
  <mergeCells count="4">
    <mergeCell ref="B3:H3"/>
    <mergeCell ref="B10:H10"/>
    <mergeCell ref="B20:H20"/>
    <mergeCell ref="B2:H2"/>
  </mergeCells>
  <conditionalFormatting sqref="G22:G27 G32">
    <cfRule type="cellIs" dxfId="0" priority="1" operator="greaterThan">
      <formula>0.36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47" orientation="portrait" r:id="rId1"/>
  <headerFooter>
    <oddHeader>&amp;L&amp;G&amp;R&amp;G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</sheetPr>
  <dimension ref="B2:L20"/>
  <sheetViews>
    <sheetView showGridLines="0" zoomScale="85" zoomScaleNormal="85" workbookViewId="0">
      <selection activeCell="Q45" sqref="Q45"/>
    </sheetView>
  </sheetViews>
  <sheetFormatPr defaultRowHeight="15" x14ac:dyDescent="0.2"/>
  <cols>
    <col min="1" max="1" width="9.33203125" style="414"/>
    <col min="2" max="2" width="20.83203125" style="414" customWidth="1"/>
    <col min="3" max="3" width="20.5" style="415" bestFit="1" customWidth="1"/>
    <col min="4" max="4" width="18.6640625" style="415" bestFit="1" customWidth="1"/>
    <col min="5" max="5" width="9.33203125" style="414"/>
    <col min="6" max="6" width="14.33203125" style="414" bestFit="1" customWidth="1"/>
    <col min="7" max="7" width="20.5" style="415" bestFit="1" customWidth="1"/>
    <col min="8" max="8" width="18.6640625" style="415" bestFit="1" customWidth="1"/>
    <col min="9" max="9" width="9.33203125" style="414"/>
    <col min="10" max="10" width="14.33203125" style="414" bestFit="1" customWidth="1"/>
    <col min="11" max="11" width="20.5" style="415" bestFit="1" customWidth="1"/>
    <col min="12" max="12" width="18.6640625" style="415" bestFit="1" customWidth="1"/>
    <col min="13" max="16384" width="9.33203125" style="414"/>
  </cols>
  <sheetData>
    <row r="2" spans="2:12" s="410" customFormat="1" ht="24.95" customHeight="1" x14ac:dyDescent="0.2">
      <c r="B2" s="792" t="s">
        <v>422</v>
      </c>
      <c r="C2" s="792"/>
      <c r="D2" s="792"/>
      <c r="F2" s="792" t="s">
        <v>422</v>
      </c>
      <c r="G2" s="792"/>
      <c r="H2" s="792"/>
      <c r="J2" s="792" t="s">
        <v>422</v>
      </c>
      <c r="K2" s="792"/>
      <c r="L2" s="792"/>
    </row>
    <row r="3" spans="2:12" s="410" customFormat="1" ht="24.95" customHeight="1" x14ac:dyDescent="0.2">
      <c r="B3" s="411" t="s">
        <v>53</v>
      </c>
      <c r="C3" s="411" t="s">
        <v>423</v>
      </c>
      <c r="D3" s="411" t="s">
        <v>284</v>
      </c>
      <c r="F3" s="411" t="s">
        <v>53</v>
      </c>
      <c r="G3" s="411" t="s">
        <v>423</v>
      </c>
      <c r="H3" s="411" t="s">
        <v>284</v>
      </c>
      <c r="J3" s="411" t="s">
        <v>53</v>
      </c>
      <c r="K3" s="411" t="s">
        <v>423</v>
      </c>
      <c r="L3" s="411" t="s">
        <v>284</v>
      </c>
    </row>
    <row r="4" spans="2:12" ht="18" customHeight="1" x14ac:dyDescent="0.2">
      <c r="B4" s="412" t="s">
        <v>482</v>
      </c>
      <c r="C4" s="413" t="s">
        <v>494</v>
      </c>
      <c r="D4" s="413" t="s">
        <v>495</v>
      </c>
      <c r="F4" s="412"/>
      <c r="G4" s="413"/>
      <c r="H4" s="413"/>
      <c r="J4" s="412"/>
      <c r="K4" s="413"/>
      <c r="L4" s="413"/>
    </row>
    <row r="5" spans="2:12" ht="18" customHeight="1" x14ac:dyDescent="0.2">
      <c r="B5" s="412" t="s">
        <v>483</v>
      </c>
      <c r="C5" s="413" t="s">
        <v>496</v>
      </c>
      <c r="D5" s="413" t="s">
        <v>497</v>
      </c>
      <c r="F5" s="412"/>
      <c r="G5" s="413"/>
      <c r="H5" s="413"/>
      <c r="J5" s="412"/>
      <c r="K5" s="413"/>
      <c r="L5" s="413"/>
    </row>
    <row r="6" spans="2:12" ht="18" customHeight="1" x14ac:dyDescent="0.2">
      <c r="B6" s="412" t="s">
        <v>484</v>
      </c>
      <c r="C6" s="413" t="s">
        <v>498</v>
      </c>
      <c r="D6" s="413" t="s">
        <v>499</v>
      </c>
      <c r="F6" s="412"/>
      <c r="G6" s="413"/>
      <c r="H6" s="413"/>
      <c r="J6" s="412"/>
      <c r="K6" s="413"/>
      <c r="L6" s="413"/>
    </row>
    <row r="7" spans="2:12" ht="18" customHeight="1" x14ac:dyDescent="0.2">
      <c r="B7" s="412" t="s">
        <v>485</v>
      </c>
      <c r="C7" s="413" t="s">
        <v>500</v>
      </c>
      <c r="D7" s="413" t="s">
        <v>501</v>
      </c>
      <c r="F7" s="412"/>
      <c r="G7" s="413"/>
      <c r="H7" s="413"/>
      <c r="J7" s="412"/>
      <c r="K7" s="413"/>
      <c r="L7" s="413"/>
    </row>
    <row r="8" spans="2:12" ht="18" customHeight="1" x14ac:dyDescent="0.2">
      <c r="B8" s="412" t="s">
        <v>486</v>
      </c>
      <c r="C8" s="413" t="s">
        <v>502</v>
      </c>
      <c r="D8" s="413" t="s">
        <v>503</v>
      </c>
      <c r="F8" s="412"/>
      <c r="G8" s="413"/>
      <c r="H8" s="413"/>
      <c r="J8" s="412"/>
      <c r="K8" s="413"/>
      <c r="L8" s="413"/>
    </row>
    <row r="9" spans="2:12" ht="18" customHeight="1" x14ac:dyDescent="0.2">
      <c r="B9" s="412" t="s">
        <v>487</v>
      </c>
      <c r="C9" s="413" t="s">
        <v>504</v>
      </c>
      <c r="D9" s="413" t="s">
        <v>505</v>
      </c>
      <c r="F9" s="412"/>
      <c r="G9" s="413"/>
      <c r="H9" s="413"/>
      <c r="J9" s="412"/>
      <c r="K9" s="413"/>
      <c r="L9" s="413"/>
    </row>
    <row r="10" spans="2:12" ht="18" customHeight="1" x14ac:dyDescent="0.2">
      <c r="B10" s="412" t="s">
        <v>488</v>
      </c>
      <c r="C10" s="413" t="s">
        <v>506</v>
      </c>
      <c r="D10" s="413" t="s">
        <v>507</v>
      </c>
      <c r="F10" s="412"/>
      <c r="G10" s="413"/>
      <c r="H10" s="413"/>
      <c r="J10" s="412"/>
      <c r="K10" s="413"/>
      <c r="L10" s="413"/>
    </row>
    <row r="11" spans="2:12" ht="18" customHeight="1" x14ac:dyDescent="0.2">
      <c r="B11" s="412" t="s">
        <v>489</v>
      </c>
      <c r="C11" s="413" t="s">
        <v>508</v>
      </c>
      <c r="D11" s="413" t="s">
        <v>509</v>
      </c>
      <c r="F11" s="412"/>
      <c r="G11" s="413"/>
      <c r="H11" s="413"/>
      <c r="J11" s="412"/>
      <c r="K11" s="413"/>
      <c r="L11" s="413"/>
    </row>
    <row r="12" spans="2:12" ht="18" customHeight="1" x14ac:dyDescent="0.2">
      <c r="B12" s="412" t="s">
        <v>490</v>
      </c>
      <c r="C12" s="413" t="s">
        <v>510</v>
      </c>
      <c r="D12" s="413" t="s">
        <v>511</v>
      </c>
      <c r="F12" s="412"/>
      <c r="G12" s="413"/>
      <c r="H12" s="413"/>
      <c r="J12" s="412"/>
      <c r="K12" s="413"/>
      <c r="L12" s="413"/>
    </row>
    <row r="13" spans="2:12" ht="18" customHeight="1" x14ac:dyDescent="0.2">
      <c r="B13" s="412" t="s">
        <v>491</v>
      </c>
      <c r="C13" s="413" t="s">
        <v>512</v>
      </c>
      <c r="D13" s="413" t="s">
        <v>513</v>
      </c>
      <c r="F13" s="412"/>
      <c r="G13" s="413"/>
      <c r="H13" s="413"/>
      <c r="J13" s="412"/>
      <c r="K13" s="413"/>
      <c r="L13" s="413"/>
    </row>
    <row r="14" spans="2:12" ht="18" customHeight="1" x14ac:dyDescent="0.2">
      <c r="B14" s="412" t="s">
        <v>492</v>
      </c>
      <c r="C14" s="413" t="s">
        <v>514</v>
      </c>
      <c r="D14" s="413" t="s">
        <v>515</v>
      </c>
      <c r="F14" s="412"/>
      <c r="G14" s="413"/>
      <c r="H14" s="413"/>
      <c r="J14" s="412"/>
      <c r="K14" s="413"/>
      <c r="L14" s="413"/>
    </row>
    <row r="15" spans="2:12" ht="18" customHeight="1" x14ac:dyDescent="0.2">
      <c r="B15" s="412" t="s">
        <v>493</v>
      </c>
      <c r="C15" s="413" t="s">
        <v>516</v>
      </c>
      <c r="D15" s="413" t="s">
        <v>517</v>
      </c>
      <c r="F15" s="412"/>
      <c r="G15" s="413"/>
      <c r="H15" s="413"/>
      <c r="J15" s="412"/>
      <c r="K15" s="413"/>
      <c r="L15" s="413"/>
    </row>
    <row r="16" spans="2:12" ht="18" customHeight="1" x14ac:dyDescent="0.2">
      <c r="B16" s="412" t="s">
        <v>1113</v>
      </c>
      <c r="C16" s="413" t="s">
        <v>1114</v>
      </c>
      <c r="D16" s="413" t="s">
        <v>1115</v>
      </c>
      <c r="F16" s="412"/>
      <c r="G16" s="413"/>
      <c r="H16" s="413"/>
      <c r="J16" s="412"/>
      <c r="K16" s="413"/>
      <c r="L16" s="413"/>
    </row>
    <row r="17" spans="2:4" ht="18" customHeight="1" x14ac:dyDescent="0.2">
      <c r="B17" s="412" t="s">
        <v>1116</v>
      </c>
      <c r="C17" s="413" t="s">
        <v>1117</v>
      </c>
      <c r="D17" s="413" t="s">
        <v>1118</v>
      </c>
    </row>
    <row r="18" spans="2:4" ht="18" customHeight="1" x14ac:dyDescent="0.2">
      <c r="B18" s="412" t="s">
        <v>1119</v>
      </c>
      <c r="C18" s="413" t="s">
        <v>1120</v>
      </c>
      <c r="D18" s="413" t="s">
        <v>1121</v>
      </c>
    </row>
    <row r="19" spans="2:4" ht="18" customHeight="1" x14ac:dyDescent="0.2">
      <c r="B19" s="412" t="s">
        <v>1122</v>
      </c>
      <c r="C19" s="413" t="s">
        <v>1123</v>
      </c>
      <c r="D19" s="413" t="s">
        <v>1124</v>
      </c>
    </row>
    <row r="20" spans="2:4" ht="18" customHeight="1" x14ac:dyDescent="0.2">
      <c r="B20" s="412" t="s">
        <v>518</v>
      </c>
      <c r="C20" s="413" t="s">
        <v>519</v>
      </c>
      <c r="D20" s="413" t="s">
        <v>520</v>
      </c>
    </row>
  </sheetData>
  <mergeCells count="3">
    <mergeCell ref="B2:D2"/>
    <mergeCell ref="F2:H2"/>
    <mergeCell ref="J2:L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B2:J15"/>
  <sheetViews>
    <sheetView showGridLines="0" tabSelected="1" showOutlineSymbols="0" showWhiteSpace="0" view="pageBreakPreview" zoomScale="85" zoomScaleNormal="85" zoomScaleSheetLayoutView="85" workbookViewId="0">
      <selection activeCell="B15" sqref="B15:J15"/>
    </sheetView>
  </sheetViews>
  <sheetFormatPr defaultRowHeight="15" x14ac:dyDescent="0.2"/>
  <cols>
    <col min="1" max="1" width="9.33203125" style="74"/>
    <col min="2" max="2" width="8.83203125" style="74" customWidth="1"/>
    <col min="3" max="3" width="80" style="74" bestFit="1" customWidth="1"/>
    <col min="4" max="4" width="40" style="74" bestFit="1" customWidth="1"/>
    <col min="5" max="5" width="6.6640625" style="74" bestFit="1" customWidth="1"/>
    <col min="6" max="7" width="13.33203125" style="74" bestFit="1" customWidth="1"/>
    <col min="8" max="8" width="6.83203125" style="74" customWidth="1"/>
    <col min="9" max="9" width="18.1640625" style="74" customWidth="1"/>
    <col min="10" max="10" width="14.33203125" style="74" customWidth="1"/>
    <col min="11" max="11" width="14.6640625" style="74" bestFit="1" customWidth="1"/>
    <col min="12" max="16384" width="9.33203125" style="74"/>
  </cols>
  <sheetData>
    <row r="2" spans="2:10" x14ac:dyDescent="0.2">
      <c r="B2" s="83" t="s">
        <v>111</v>
      </c>
      <c r="D2" s="75" t="s">
        <v>112</v>
      </c>
      <c r="E2" s="567" t="s">
        <v>113</v>
      </c>
      <c r="F2" s="567"/>
      <c r="G2" s="567"/>
      <c r="H2" s="567" t="s">
        <v>114</v>
      </c>
      <c r="I2" s="567"/>
      <c r="J2" s="567"/>
    </row>
    <row r="3" spans="2:10" s="81" customFormat="1" ht="36" customHeight="1" x14ac:dyDescent="0.2">
      <c r="B3" s="571" t="s">
        <v>551</v>
      </c>
      <c r="C3" s="571"/>
      <c r="D3" s="71" t="s">
        <v>1275</v>
      </c>
      <c r="E3" s="572" t="s">
        <v>1151</v>
      </c>
      <c r="F3" s="571"/>
      <c r="G3" s="571"/>
      <c r="H3" s="571" t="s">
        <v>276</v>
      </c>
      <c r="I3" s="571"/>
      <c r="J3" s="571"/>
    </row>
    <row r="4" spans="2:10" x14ac:dyDescent="0.2">
      <c r="B4" s="573" t="s">
        <v>271</v>
      </c>
      <c r="C4" s="570"/>
      <c r="D4" s="570"/>
      <c r="E4" s="570"/>
      <c r="F4" s="570"/>
      <c r="G4" s="570"/>
      <c r="H4" s="570"/>
      <c r="I4" s="570"/>
      <c r="J4" s="570"/>
    </row>
    <row r="5" spans="2:10" ht="30" customHeight="1" x14ac:dyDescent="0.2">
      <c r="B5" s="82" t="s">
        <v>115</v>
      </c>
      <c r="C5" s="574" t="s">
        <v>118</v>
      </c>
      <c r="D5" s="574"/>
      <c r="E5" s="574"/>
      <c r="F5" s="574"/>
      <c r="G5" s="574"/>
      <c r="H5" s="574"/>
      <c r="I5" s="76" t="s">
        <v>0</v>
      </c>
      <c r="J5" s="76" t="s">
        <v>123</v>
      </c>
    </row>
    <row r="6" spans="2:10" ht="30" customHeight="1" x14ac:dyDescent="0.2">
      <c r="B6" s="145" t="s">
        <v>272</v>
      </c>
      <c r="C6" s="575" t="s">
        <v>1</v>
      </c>
      <c r="D6" s="576"/>
      <c r="E6" s="576"/>
      <c r="F6" s="576"/>
      <c r="G6" s="576"/>
      <c r="H6" s="577"/>
      <c r="I6" s="154">
        <v>42127.38</v>
      </c>
      <c r="J6" s="155">
        <v>8.2554591285962254E-3</v>
      </c>
    </row>
    <row r="7" spans="2:10" ht="30" customHeight="1" x14ac:dyDescent="0.2">
      <c r="B7" s="145" t="s">
        <v>313</v>
      </c>
      <c r="C7" s="575" t="s">
        <v>552</v>
      </c>
      <c r="D7" s="576"/>
      <c r="E7" s="576"/>
      <c r="F7" s="576"/>
      <c r="G7" s="576"/>
      <c r="H7" s="577"/>
      <c r="I7" s="154">
        <v>2222706.52</v>
      </c>
      <c r="J7" s="155">
        <v>0.43557094770015009</v>
      </c>
    </row>
    <row r="8" spans="2:10" ht="30" customHeight="1" x14ac:dyDescent="0.2">
      <c r="B8" s="145" t="s">
        <v>314</v>
      </c>
      <c r="C8" s="575" t="s">
        <v>553</v>
      </c>
      <c r="D8" s="576"/>
      <c r="E8" s="576"/>
      <c r="F8" s="576"/>
      <c r="G8" s="576"/>
      <c r="H8" s="577"/>
      <c r="I8" s="154">
        <v>2594918.4900000002</v>
      </c>
      <c r="J8" s="155">
        <v>0.50851117577769223</v>
      </c>
    </row>
    <row r="9" spans="2:10" ht="30" customHeight="1" x14ac:dyDescent="0.2">
      <c r="B9" s="145" t="s">
        <v>315</v>
      </c>
      <c r="C9" s="575" t="s">
        <v>554</v>
      </c>
      <c r="D9" s="576"/>
      <c r="E9" s="576"/>
      <c r="F9" s="576"/>
      <c r="G9" s="576"/>
      <c r="H9" s="577"/>
      <c r="I9" s="154">
        <v>243220</v>
      </c>
      <c r="J9" s="155">
        <v>4.7662417393561481E-2</v>
      </c>
    </row>
    <row r="10" spans="2:10" ht="24" customHeight="1" x14ac:dyDescent="0.2">
      <c r="B10" s="77"/>
      <c r="C10" s="77"/>
      <c r="D10" s="77"/>
      <c r="E10" s="77"/>
      <c r="F10" s="77"/>
      <c r="G10" s="77"/>
      <c r="H10" s="77"/>
      <c r="I10" s="77"/>
      <c r="J10" s="77"/>
    </row>
    <row r="11" spans="2:10" ht="20.100000000000001" customHeight="1" x14ac:dyDescent="0.2">
      <c r="B11" s="79"/>
      <c r="C11" s="78"/>
      <c r="D11" s="79"/>
      <c r="E11" s="79"/>
      <c r="F11" s="567" t="s">
        <v>124</v>
      </c>
      <c r="G11" s="567"/>
      <c r="H11" s="568">
        <v>4297645.88</v>
      </c>
      <c r="I11" s="568"/>
      <c r="J11" s="568"/>
    </row>
    <row r="12" spans="2:10" ht="20.100000000000001" customHeight="1" x14ac:dyDescent="0.2">
      <c r="B12" s="79"/>
      <c r="C12" s="78"/>
      <c r="D12" s="79"/>
      <c r="E12" s="79"/>
      <c r="F12" s="567" t="s">
        <v>125</v>
      </c>
      <c r="G12" s="567"/>
      <c r="H12" s="568">
        <v>805326.51</v>
      </c>
      <c r="I12" s="568"/>
      <c r="J12" s="568"/>
    </row>
    <row r="13" spans="2:10" ht="20.100000000000001" customHeight="1" x14ac:dyDescent="0.2">
      <c r="B13" s="79"/>
      <c r="C13" s="78"/>
      <c r="D13" s="79"/>
      <c r="E13" s="79"/>
      <c r="F13" s="567" t="s">
        <v>126</v>
      </c>
      <c r="G13" s="567"/>
      <c r="H13" s="568">
        <v>5102972.3899999997</v>
      </c>
      <c r="I13" s="568"/>
      <c r="J13" s="568"/>
    </row>
    <row r="14" spans="2:10" x14ac:dyDescent="0.2">
      <c r="B14" s="80"/>
      <c r="C14" s="80"/>
      <c r="D14" s="80"/>
      <c r="E14" s="80"/>
      <c r="F14" s="80"/>
      <c r="G14" s="80"/>
      <c r="H14" s="80"/>
      <c r="I14" s="80"/>
      <c r="J14" s="80"/>
    </row>
    <row r="15" spans="2:10" ht="60" customHeight="1" x14ac:dyDescent="0.2">
      <c r="B15" s="569" t="s">
        <v>277</v>
      </c>
      <c r="C15" s="570"/>
      <c r="D15" s="570"/>
      <c r="E15" s="570"/>
      <c r="F15" s="570"/>
      <c r="G15" s="570"/>
      <c r="H15" s="570"/>
      <c r="I15" s="570"/>
      <c r="J15" s="570"/>
    </row>
  </sheetData>
  <mergeCells count="18">
    <mergeCell ref="E2:G2"/>
    <mergeCell ref="H2:J2"/>
    <mergeCell ref="E3:G3"/>
    <mergeCell ref="H3:J3"/>
    <mergeCell ref="B4:J4"/>
    <mergeCell ref="F13:G13"/>
    <mergeCell ref="H13:J13"/>
    <mergeCell ref="B15:J15"/>
    <mergeCell ref="B3:C3"/>
    <mergeCell ref="F11:G11"/>
    <mergeCell ref="H11:J11"/>
    <mergeCell ref="F12:G12"/>
    <mergeCell ref="H12:J12"/>
    <mergeCell ref="C9:H9"/>
    <mergeCell ref="C5:H5"/>
    <mergeCell ref="C6:H6"/>
    <mergeCell ref="C7:H7"/>
    <mergeCell ref="C8:H8"/>
  </mergeCells>
  <phoneticPr fontId="36" type="noConversion"/>
  <printOptions horizontalCentered="1"/>
  <pageMargins left="0.51181102362204722" right="0.51181102362204722" top="0.98425196850393704" bottom="0.98425196850393704" header="0.31496062992125984" footer="0.51181102362204722"/>
  <pageSetup paperSize="9" scale="74" fitToHeight="0" orientation="landscape" r:id="rId1"/>
  <headerFooter>
    <oddHeader>&amp;L&amp;G&amp;R&amp;G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B2:L191"/>
  <sheetViews>
    <sheetView showGridLines="0" showOutlineSymbols="0" showWhiteSpace="0" view="pageBreakPreview" topLeftCell="A164" zoomScale="85" zoomScaleNormal="100" zoomScaleSheetLayoutView="85" workbookViewId="0">
      <selection activeCell="E14" sqref="E14"/>
    </sheetView>
  </sheetViews>
  <sheetFormatPr defaultRowHeight="12.75" x14ac:dyDescent="0.2"/>
  <cols>
    <col min="1" max="1" width="9.33203125" style="53"/>
    <col min="2" max="2" width="13.33203125" style="53" bestFit="1" customWidth="1"/>
    <col min="3" max="3" width="18.5" style="53" customWidth="1"/>
    <col min="4" max="4" width="17.6640625" style="53" bestFit="1" customWidth="1"/>
    <col min="5" max="5" width="81" style="53" customWidth="1"/>
    <col min="6" max="6" width="12.33203125" style="539" customWidth="1"/>
    <col min="7" max="7" width="10.6640625" style="53" bestFit="1" customWidth="1"/>
    <col min="8" max="12" width="17.33203125" style="53" bestFit="1" customWidth="1"/>
    <col min="13" max="16384" width="9.33203125" style="53"/>
  </cols>
  <sheetData>
    <row r="2" spans="2:12" ht="15" x14ac:dyDescent="0.2">
      <c r="B2" s="71" t="s">
        <v>111</v>
      </c>
      <c r="C2" s="71"/>
      <c r="D2" s="71"/>
      <c r="G2" s="571" t="s">
        <v>112</v>
      </c>
      <c r="H2" s="571"/>
      <c r="I2" s="571" t="s">
        <v>113</v>
      </c>
      <c r="J2" s="571"/>
      <c r="K2" s="571" t="s">
        <v>114</v>
      </c>
      <c r="L2" s="571"/>
    </row>
    <row r="3" spans="2:12" s="72" customFormat="1" ht="39.75" customHeight="1" x14ac:dyDescent="0.25">
      <c r="B3" s="535" t="s">
        <v>551</v>
      </c>
      <c r="C3" s="71"/>
      <c r="D3" s="71"/>
      <c r="F3" s="540"/>
      <c r="G3" s="571" t="str">
        <f>'RESUMO ND'!D3</f>
        <v>SINAPI - 12/2023 - MS</v>
      </c>
      <c r="H3" s="571"/>
      <c r="I3" s="571" t="s">
        <v>1151</v>
      </c>
      <c r="J3" s="571"/>
      <c r="K3" s="571" t="s">
        <v>1162</v>
      </c>
      <c r="L3" s="571"/>
    </row>
    <row r="4" spans="2:12" ht="13.5" x14ac:dyDescent="0.25">
      <c r="B4" s="582" t="s">
        <v>1163</v>
      </c>
      <c r="C4" s="581"/>
      <c r="D4" s="581"/>
      <c r="E4" s="581"/>
      <c r="F4" s="581"/>
      <c r="G4" s="581"/>
      <c r="H4" s="581"/>
      <c r="I4" s="581"/>
      <c r="J4" s="581"/>
      <c r="K4" s="581"/>
      <c r="L4" s="581"/>
    </row>
    <row r="5" spans="2:12" ht="30" x14ac:dyDescent="0.2">
      <c r="B5" s="497" t="s">
        <v>115</v>
      </c>
      <c r="C5" s="51" t="s">
        <v>116</v>
      </c>
      <c r="D5" s="497" t="s">
        <v>117</v>
      </c>
      <c r="E5" s="497" t="s">
        <v>118</v>
      </c>
      <c r="F5" s="537" t="s">
        <v>278</v>
      </c>
      <c r="G5" s="52" t="s">
        <v>119</v>
      </c>
      <c r="H5" s="51" t="s">
        <v>120</v>
      </c>
      <c r="I5" s="51" t="s">
        <v>121</v>
      </c>
      <c r="J5" s="51" t="s">
        <v>122</v>
      </c>
      <c r="K5" s="51" t="s">
        <v>0</v>
      </c>
      <c r="L5" s="51" t="s">
        <v>123</v>
      </c>
    </row>
    <row r="6" spans="2:12" x14ac:dyDescent="0.2">
      <c r="B6" s="43" t="s">
        <v>272</v>
      </c>
      <c r="C6" s="43"/>
      <c r="D6" s="43"/>
      <c r="E6" s="43" t="s">
        <v>1</v>
      </c>
      <c r="F6" s="156"/>
      <c r="G6" s="43"/>
      <c r="H6" s="41"/>
      <c r="I6" s="43"/>
      <c r="J6" s="43"/>
      <c r="K6" s="41">
        <v>42127.38</v>
      </c>
      <c r="L6" s="42">
        <v>8.2554591285962254E-3</v>
      </c>
    </row>
    <row r="7" spans="2:12" x14ac:dyDescent="0.2">
      <c r="B7" s="44" t="s">
        <v>555</v>
      </c>
      <c r="C7" s="45" t="s">
        <v>556</v>
      </c>
      <c r="D7" s="44" t="s">
        <v>557</v>
      </c>
      <c r="E7" s="44" t="s">
        <v>558</v>
      </c>
      <c r="F7" s="84"/>
      <c r="G7" s="46" t="s">
        <v>2</v>
      </c>
      <c r="H7" s="47">
        <v>8</v>
      </c>
      <c r="I7" s="47">
        <v>359.98</v>
      </c>
      <c r="J7" s="47">
        <v>434.49</v>
      </c>
      <c r="K7" s="47">
        <v>3475.92</v>
      </c>
      <c r="L7" s="48">
        <v>6.8115594879791222E-4</v>
      </c>
    </row>
    <row r="8" spans="2:12" ht="25.5" x14ac:dyDescent="0.2">
      <c r="B8" s="44" t="s">
        <v>559</v>
      </c>
      <c r="C8" s="45" t="s">
        <v>560</v>
      </c>
      <c r="D8" s="44" t="s">
        <v>561</v>
      </c>
      <c r="E8" s="44" t="s">
        <v>562</v>
      </c>
      <c r="F8" s="84"/>
      <c r="G8" s="46" t="s">
        <v>2</v>
      </c>
      <c r="H8" s="47">
        <v>15</v>
      </c>
      <c r="I8" s="47">
        <v>1204.1500000000001</v>
      </c>
      <c r="J8" s="47">
        <v>1453.4</v>
      </c>
      <c r="K8" s="47">
        <v>21801</v>
      </c>
      <c r="L8" s="48">
        <v>4.2722159427556689E-3</v>
      </c>
    </row>
    <row r="9" spans="2:12" ht="25.5" x14ac:dyDescent="0.2">
      <c r="B9" s="44" t="s">
        <v>563</v>
      </c>
      <c r="C9" s="45" t="s">
        <v>564</v>
      </c>
      <c r="D9" s="44" t="s">
        <v>557</v>
      </c>
      <c r="E9" s="44" t="s">
        <v>565</v>
      </c>
      <c r="F9" s="84"/>
      <c r="G9" s="46" t="s">
        <v>829</v>
      </c>
      <c r="H9" s="47">
        <v>1</v>
      </c>
      <c r="I9" s="47">
        <v>2680.97</v>
      </c>
      <c r="J9" s="47">
        <v>3235.93</v>
      </c>
      <c r="K9" s="47">
        <v>3235.93</v>
      </c>
      <c r="L9" s="48">
        <v>6.3412649583236328E-4</v>
      </c>
    </row>
    <row r="10" spans="2:12" x14ac:dyDescent="0.2">
      <c r="B10" s="44" t="s">
        <v>566</v>
      </c>
      <c r="C10" s="45" t="s">
        <v>567</v>
      </c>
      <c r="D10" s="44" t="s">
        <v>557</v>
      </c>
      <c r="E10" s="44" t="s">
        <v>568</v>
      </c>
      <c r="F10" s="84"/>
      <c r="G10" s="46" t="s">
        <v>829</v>
      </c>
      <c r="H10" s="47">
        <v>1</v>
      </c>
      <c r="I10" s="47">
        <v>945.5</v>
      </c>
      <c r="J10" s="47">
        <v>1141.21</v>
      </c>
      <c r="K10" s="47">
        <v>1141.21</v>
      </c>
      <c r="L10" s="48">
        <v>2.2363632659200023E-4</v>
      </c>
    </row>
    <row r="11" spans="2:12" ht="25.5" x14ac:dyDescent="0.2">
      <c r="B11" s="44" t="s">
        <v>569</v>
      </c>
      <c r="C11" s="45" t="s">
        <v>570</v>
      </c>
      <c r="D11" s="44" t="s">
        <v>557</v>
      </c>
      <c r="E11" s="44" t="s">
        <v>571</v>
      </c>
      <c r="F11" s="84"/>
      <c r="G11" s="46" t="s">
        <v>829</v>
      </c>
      <c r="H11" s="47">
        <v>12</v>
      </c>
      <c r="I11" s="47">
        <v>336.59</v>
      </c>
      <c r="J11" s="47">
        <v>406.26</v>
      </c>
      <c r="K11" s="47">
        <v>4875.12</v>
      </c>
      <c r="L11" s="48">
        <v>9.5534908430104204E-4</v>
      </c>
    </row>
    <row r="12" spans="2:12" x14ac:dyDescent="0.2">
      <c r="B12" s="44" t="s">
        <v>572</v>
      </c>
      <c r="C12" s="45" t="s">
        <v>573</v>
      </c>
      <c r="D12" s="44" t="s">
        <v>557</v>
      </c>
      <c r="E12" s="44" t="s">
        <v>574</v>
      </c>
      <c r="F12" s="84"/>
      <c r="G12" s="46" t="s">
        <v>2</v>
      </c>
      <c r="H12" s="47">
        <v>525</v>
      </c>
      <c r="I12" s="47">
        <v>9.17</v>
      </c>
      <c r="J12" s="47">
        <v>11.06</v>
      </c>
      <c r="K12" s="47">
        <v>5806.5</v>
      </c>
      <c r="L12" s="48">
        <v>1.1378662387785327E-3</v>
      </c>
    </row>
    <row r="13" spans="2:12" x14ac:dyDescent="0.2">
      <c r="B13" s="44" t="s">
        <v>575</v>
      </c>
      <c r="C13" s="45" t="s">
        <v>576</v>
      </c>
      <c r="D13" s="44" t="s">
        <v>557</v>
      </c>
      <c r="E13" s="44" t="s">
        <v>577</v>
      </c>
      <c r="F13" s="84"/>
      <c r="G13" s="46" t="s">
        <v>4</v>
      </c>
      <c r="H13" s="47">
        <v>437</v>
      </c>
      <c r="I13" s="47">
        <v>3.4</v>
      </c>
      <c r="J13" s="47">
        <v>4.0999999999999996</v>
      </c>
      <c r="K13" s="47">
        <v>1791.7</v>
      </c>
      <c r="L13" s="48">
        <v>3.5110909153870614E-4</v>
      </c>
    </row>
    <row r="14" spans="2:12" x14ac:dyDescent="0.2">
      <c r="B14" s="43" t="s">
        <v>273</v>
      </c>
      <c r="C14" s="43"/>
      <c r="D14" s="43"/>
      <c r="E14" s="43" t="s">
        <v>552</v>
      </c>
      <c r="F14" s="156"/>
      <c r="G14" s="43"/>
      <c r="H14" s="41"/>
      <c r="I14" s="43"/>
      <c r="J14" s="43"/>
      <c r="K14" s="41">
        <v>2222706.52</v>
      </c>
      <c r="L14" s="42">
        <v>0.43557094770015009</v>
      </c>
    </row>
    <row r="15" spans="2:12" x14ac:dyDescent="0.2">
      <c r="B15" s="43" t="s">
        <v>578</v>
      </c>
      <c r="C15" s="43"/>
      <c r="D15" s="43"/>
      <c r="E15" s="43" t="s">
        <v>579</v>
      </c>
      <c r="F15" s="156"/>
      <c r="G15" s="43"/>
      <c r="H15" s="41"/>
      <c r="I15" s="43"/>
      <c r="J15" s="43"/>
      <c r="K15" s="41">
        <v>580097.04</v>
      </c>
      <c r="L15" s="42">
        <v>0.11367826350320503</v>
      </c>
    </row>
    <row r="16" spans="2:12" ht="63.75" x14ac:dyDescent="0.2">
      <c r="B16" s="44" t="s">
        <v>580</v>
      </c>
      <c r="C16" s="45" t="s">
        <v>581</v>
      </c>
      <c r="D16" s="44" t="s">
        <v>561</v>
      </c>
      <c r="E16" s="44" t="s">
        <v>582</v>
      </c>
      <c r="F16" s="84"/>
      <c r="G16" s="46" t="s">
        <v>3</v>
      </c>
      <c r="H16" s="47">
        <v>734.88</v>
      </c>
      <c r="I16" s="47">
        <v>7.38</v>
      </c>
      <c r="J16" s="47">
        <v>8.9</v>
      </c>
      <c r="K16" s="47">
        <v>6540.43</v>
      </c>
      <c r="L16" s="48">
        <v>1.2816902581751965E-3</v>
      </c>
    </row>
    <row r="17" spans="2:12" ht="51" x14ac:dyDescent="0.2">
      <c r="B17" s="44" t="s">
        <v>583</v>
      </c>
      <c r="C17" s="45" t="s">
        <v>584</v>
      </c>
      <c r="D17" s="44" t="s">
        <v>561</v>
      </c>
      <c r="E17" s="44" t="s">
        <v>585</v>
      </c>
      <c r="F17" s="84"/>
      <c r="G17" s="46" t="s">
        <v>3</v>
      </c>
      <c r="H17" s="47">
        <v>1685.17</v>
      </c>
      <c r="I17" s="47">
        <v>5.26</v>
      </c>
      <c r="J17" s="47">
        <v>6.34</v>
      </c>
      <c r="K17" s="47">
        <v>10683.97</v>
      </c>
      <c r="L17" s="48">
        <v>2.0936758389946924E-3</v>
      </c>
    </row>
    <row r="18" spans="2:12" ht="38.25" x14ac:dyDescent="0.2">
      <c r="B18" s="44" t="s">
        <v>1152</v>
      </c>
      <c r="C18" s="45" t="s">
        <v>587</v>
      </c>
      <c r="D18" s="44" t="s">
        <v>561</v>
      </c>
      <c r="E18" s="44" t="s">
        <v>588</v>
      </c>
      <c r="F18" s="84"/>
      <c r="G18" s="46" t="s">
        <v>3</v>
      </c>
      <c r="H18" s="47">
        <v>607.19000000000005</v>
      </c>
      <c r="I18" s="47">
        <v>6.28</v>
      </c>
      <c r="J18" s="47">
        <v>7.57</v>
      </c>
      <c r="K18" s="47">
        <v>4596.42</v>
      </c>
      <c r="L18" s="48">
        <v>9.0073385641030283E-4</v>
      </c>
    </row>
    <row r="19" spans="2:12" ht="25.5" x14ac:dyDescent="0.2">
      <c r="B19" s="44" t="s">
        <v>1153</v>
      </c>
      <c r="C19" s="45" t="s">
        <v>590</v>
      </c>
      <c r="D19" s="44" t="s">
        <v>561</v>
      </c>
      <c r="E19" s="44" t="s">
        <v>591</v>
      </c>
      <c r="F19" s="84">
        <f>DMT_BF</f>
        <v>12.2</v>
      </c>
      <c r="G19" s="46" t="s">
        <v>830</v>
      </c>
      <c r="H19" s="47">
        <v>7407.68</v>
      </c>
      <c r="I19" s="47">
        <v>2.4700000000000002</v>
      </c>
      <c r="J19" s="47">
        <v>2.98</v>
      </c>
      <c r="K19" s="47">
        <v>22074.880000000001</v>
      </c>
      <c r="L19" s="48">
        <v>4.3258866231098694E-3</v>
      </c>
    </row>
    <row r="20" spans="2:12" ht="23.25" customHeight="1" x14ac:dyDescent="0.2">
      <c r="B20" s="44" t="s">
        <v>586</v>
      </c>
      <c r="C20" s="45" t="s">
        <v>593</v>
      </c>
      <c r="D20" s="44" t="s">
        <v>561</v>
      </c>
      <c r="E20" s="44" t="s">
        <v>594</v>
      </c>
      <c r="F20" s="84"/>
      <c r="G20" s="46" t="s">
        <v>3</v>
      </c>
      <c r="H20" s="47">
        <v>607.19000000000005</v>
      </c>
      <c r="I20" s="47">
        <v>1.41</v>
      </c>
      <c r="J20" s="47">
        <v>1.7</v>
      </c>
      <c r="K20" s="47">
        <v>1032.22</v>
      </c>
      <c r="L20" s="48">
        <v>2.0227818634150987E-4</v>
      </c>
    </row>
    <row r="21" spans="2:12" ht="25.5" x14ac:dyDescent="0.2">
      <c r="B21" s="44" t="s">
        <v>589</v>
      </c>
      <c r="C21" s="45" t="s">
        <v>596</v>
      </c>
      <c r="D21" s="44" t="s">
        <v>561</v>
      </c>
      <c r="E21" s="44" t="s">
        <v>597</v>
      </c>
      <c r="F21" s="84"/>
      <c r="G21" s="46" t="s">
        <v>2</v>
      </c>
      <c r="H21" s="47">
        <v>1303.6600000000001</v>
      </c>
      <c r="I21" s="47">
        <v>26.04</v>
      </c>
      <c r="J21" s="47">
        <v>31.43</v>
      </c>
      <c r="K21" s="47">
        <v>40974.03</v>
      </c>
      <c r="L21" s="48">
        <v>8.0294437963831511E-3</v>
      </c>
    </row>
    <row r="22" spans="2:12" ht="25.5" x14ac:dyDescent="0.2">
      <c r="B22" s="44" t="s">
        <v>592</v>
      </c>
      <c r="C22" s="45" t="s">
        <v>599</v>
      </c>
      <c r="D22" s="44" t="s">
        <v>561</v>
      </c>
      <c r="E22" s="44" t="s">
        <v>600</v>
      </c>
      <c r="F22" s="84"/>
      <c r="G22" s="46" t="s">
        <v>2</v>
      </c>
      <c r="H22" s="47">
        <v>546</v>
      </c>
      <c r="I22" s="47">
        <v>5.84</v>
      </c>
      <c r="J22" s="47">
        <v>7.04</v>
      </c>
      <c r="K22" s="47">
        <v>3843.84</v>
      </c>
      <c r="L22" s="48">
        <v>7.5325510432557919E-4</v>
      </c>
    </row>
    <row r="23" spans="2:12" ht="25.5" x14ac:dyDescent="0.2">
      <c r="B23" s="44" t="s">
        <v>595</v>
      </c>
      <c r="C23" s="45" t="s">
        <v>602</v>
      </c>
      <c r="D23" s="44" t="s">
        <v>561</v>
      </c>
      <c r="E23" s="44" t="s">
        <v>603</v>
      </c>
      <c r="F23" s="84"/>
      <c r="G23" s="46" t="s">
        <v>2</v>
      </c>
      <c r="H23" s="47">
        <v>506.76</v>
      </c>
      <c r="I23" s="47">
        <v>2.87</v>
      </c>
      <c r="J23" s="47">
        <v>3.46</v>
      </c>
      <c r="K23" s="47">
        <v>1753.38</v>
      </c>
      <c r="L23" s="48">
        <v>3.4359974265900351E-4</v>
      </c>
    </row>
    <row r="24" spans="2:12" ht="51" x14ac:dyDescent="0.2">
      <c r="B24" s="44" t="s">
        <v>1154</v>
      </c>
      <c r="C24" s="45" t="s">
        <v>605</v>
      </c>
      <c r="D24" s="44" t="s">
        <v>561</v>
      </c>
      <c r="E24" s="44" t="s">
        <v>606</v>
      </c>
      <c r="F24" s="84"/>
      <c r="G24" s="46" t="s">
        <v>3</v>
      </c>
      <c r="H24" s="47">
        <v>645.46</v>
      </c>
      <c r="I24" s="47">
        <v>17.64</v>
      </c>
      <c r="J24" s="47">
        <v>21.29</v>
      </c>
      <c r="K24" s="47">
        <v>13741.84</v>
      </c>
      <c r="L24" s="48">
        <v>2.6929089459564958E-3</v>
      </c>
    </row>
    <row r="25" spans="2:12" ht="51" x14ac:dyDescent="0.2">
      <c r="B25" s="44" t="s">
        <v>598</v>
      </c>
      <c r="C25" s="45" t="s">
        <v>608</v>
      </c>
      <c r="D25" s="44" t="s">
        <v>561</v>
      </c>
      <c r="E25" s="44" t="s">
        <v>609</v>
      </c>
      <c r="F25" s="84"/>
      <c r="G25" s="46" t="s">
        <v>3</v>
      </c>
      <c r="H25" s="47">
        <v>1246.5999999999999</v>
      </c>
      <c r="I25" s="47">
        <v>16.059999999999999</v>
      </c>
      <c r="J25" s="47">
        <v>19.38</v>
      </c>
      <c r="K25" s="47">
        <v>24159.1</v>
      </c>
      <c r="L25" s="48">
        <v>4.7343191680486443E-3</v>
      </c>
    </row>
    <row r="26" spans="2:12" ht="25.5" x14ac:dyDescent="0.2">
      <c r="B26" s="44" t="s">
        <v>601</v>
      </c>
      <c r="C26" s="45" t="s">
        <v>611</v>
      </c>
      <c r="D26" s="44" t="s">
        <v>561</v>
      </c>
      <c r="E26" s="44" t="s">
        <v>612</v>
      </c>
      <c r="F26" s="84"/>
      <c r="G26" s="46" t="s">
        <v>831</v>
      </c>
      <c r="H26" s="47">
        <v>486</v>
      </c>
      <c r="I26" s="47">
        <v>73.260000000000005</v>
      </c>
      <c r="J26" s="47">
        <v>84.44</v>
      </c>
      <c r="K26" s="47">
        <v>41037.839999999997</v>
      </c>
      <c r="L26" s="48">
        <v>8.0419482732102341E-3</v>
      </c>
    </row>
    <row r="27" spans="2:12" ht="25.5" x14ac:dyDescent="0.2">
      <c r="B27" s="44" t="s">
        <v>604</v>
      </c>
      <c r="C27" s="45" t="s">
        <v>1300</v>
      </c>
      <c r="D27" s="44" t="s">
        <v>561</v>
      </c>
      <c r="E27" s="44" t="s">
        <v>1155</v>
      </c>
      <c r="F27" s="84"/>
      <c r="G27" s="46" t="s">
        <v>831</v>
      </c>
      <c r="H27" s="47">
        <v>131</v>
      </c>
      <c r="I27" s="47">
        <v>247.5</v>
      </c>
      <c r="J27" s="47">
        <v>285.29000000000002</v>
      </c>
      <c r="K27" s="47">
        <v>37372.99</v>
      </c>
      <c r="L27" s="48">
        <v>7.3237688044790698E-3</v>
      </c>
    </row>
    <row r="28" spans="2:12" ht="25.5" x14ac:dyDescent="0.2">
      <c r="B28" s="44" t="s">
        <v>607</v>
      </c>
      <c r="C28" s="45" t="s">
        <v>614</v>
      </c>
      <c r="D28" s="44" t="s">
        <v>561</v>
      </c>
      <c r="E28" s="44" t="s">
        <v>615</v>
      </c>
      <c r="F28" s="84"/>
      <c r="G28" s="46" t="s">
        <v>831</v>
      </c>
      <c r="H28" s="47">
        <v>196</v>
      </c>
      <c r="I28" s="47">
        <v>482.52</v>
      </c>
      <c r="J28" s="47">
        <v>556.20000000000005</v>
      </c>
      <c r="K28" s="47">
        <v>109015.2</v>
      </c>
      <c r="L28" s="48">
        <v>2.1363078548814175E-2</v>
      </c>
    </row>
    <row r="29" spans="2:12" ht="25.5" x14ac:dyDescent="0.2">
      <c r="B29" s="44" t="s">
        <v>610</v>
      </c>
      <c r="C29" s="45" t="s">
        <v>1301</v>
      </c>
      <c r="D29" s="44" t="s">
        <v>561</v>
      </c>
      <c r="E29" s="44" t="s">
        <v>1156</v>
      </c>
      <c r="F29" s="84"/>
      <c r="G29" s="46" t="s">
        <v>831</v>
      </c>
      <c r="H29" s="47">
        <v>96</v>
      </c>
      <c r="I29" s="47">
        <v>720.66</v>
      </c>
      <c r="J29" s="47">
        <v>830.7</v>
      </c>
      <c r="K29" s="47">
        <v>79747.199999999997</v>
      </c>
      <c r="L29" s="48">
        <v>1.5627597781300163E-2</v>
      </c>
    </row>
    <row r="30" spans="2:12" ht="38.25" x14ac:dyDescent="0.2">
      <c r="B30" s="44" t="s">
        <v>613</v>
      </c>
      <c r="C30" s="45" t="s">
        <v>617</v>
      </c>
      <c r="D30" s="44" t="s">
        <v>561</v>
      </c>
      <c r="E30" s="44" t="s">
        <v>618</v>
      </c>
      <c r="F30" s="84"/>
      <c r="G30" s="46" t="s">
        <v>831</v>
      </c>
      <c r="H30" s="47">
        <v>486</v>
      </c>
      <c r="I30" s="47">
        <v>49.9</v>
      </c>
      <c r="J30" s="47">
        <v>60.22</v>
      </c>
      <c r="K30" s="47">
        <v>29266.92</v>
      </c>
      <c r="L30" s="48">
        <v>5.735269126157275E-3</v>
      </c>
    </row>
    <row r="31" spans="2:12" ht="38.25" x14ac:dyDescent="0.2">
      <c r="B31" s="44" t="s">
        <v>616</v>
      </c>
      <c r="C31" s="45" t="s">
        <v>726</v>
      </c>
      <c r="D31" s="44" t="s">
        <v>561</v>
      </c>
      <c r="E31" s="44" t="s">
        <v>727</v>
      </c>
      <c r="F31" s="84"/>
      <c r="G31" s="46" t="s">
        <v>831</v>
      </c>
      <c r="H31" s="47">
        <v>131</v>
      </c>
      <c r="I31" s="47">
        <v>72.41</v>
      </c>
      <c r="J31" s="47">
        <v>87.39</v>
      </c>
      <c r="K31" s="47">
        <v>11448.09</v>
      </c>
      <c r="L31" s="48">
        <v>2.2434160181689713E-3</v>
      </c>
    </row>
    <row r="32" spans="2:12" ht="38.25" x14ac:dyDescent="0.2">
      <c r="B32" s="44" t="s">
        <v>619</v>
      </c>
      <c r="C32" s="45" t="s">
        <v>621</v>
      </c>
      <c r="D32" s="44" t="s">
        <v>561</v>
      </c>
      <c r="E32" s="44" t="s">
        <v>622</v>
      </c>
      <c r="F32" s="84"/>
      <c r="G32" s="46" t="s">
        <v>831</v>
      </c>
      <c r="H32" s="47">
        <v>196</v>
      </c>
      <c r="I32" s="47">
        <v>128.25</v>
      </c>
      <c r="J32" s="47">
        <v>154.79</v>
      </c>
      <c r="K32" s="47">
        <v>30338.84</v>
      </c>
      <c r="L32" s="48">
        <v>5.9453270920009817E-3</v>
      </c>
    </row>
    <row r="33" spans="2:12" ht="38.25" x14ac:dyDescent="0.2">
      <c r="B33" s="44" t="s">
        <v>620</v>
      </c>
      <c r="C33" s="45" t="s">
        <v>1302</v>
      </c>
      <c r="D33" s="44" t="s">
        <v>561</v>
      </c>
      <c r="E33" s="44" t="s">
        <v>1157</v>
      </c>
      <c r="F33" s="84"/>
      <c r="G33" s="46" t="s">
        <v>831</v>
      </c>
      <c r="H33" s="47">
        <v>96</v>
      </c>
      <c r="I33" s="47">
        <v>160.49</v>
      </c>
      <c r="J33" s="47">
        <v>193.71</v>
      </c>
      <c r="K33" s="47">
        <v>18596.16</v>
      </c>
      <c r="L33" s="48">
        <v>3.6441819744982003E-3</v>
      </c>
    </row>
    <row r="34" spans="2:12" ht="25.5" x14ac:dyDescent="0.2">
      <c r="B34" s="44" t="s">
        <v>623</v>
      </c>
      <c r="C34" s="45" t="s">
        <v>624</v>
      </c>
      <c r="D34" s="44" t="s">
        <v>561</v>
      </c>
      <c r="E34" s="44" t="s">
        <v>625</v>
      </c>
      <c r="F34" s="84">
        <v>30</v>
      </c>
      <c r="G34" s="46" t="s">
        <v>832</v>
      </c>
      <c r="H34" s="47">
        <v>9213.33</v>
      </c>
      <c r="I34" s="47">
        <v>2.23</v>
      </c>
      <c r="J34" s="47">
        <v>2.69</v>
      </c>
      <c r="K34" s="47">
        <v>24783.85</v>
      </c>
      <c r="L34" s="48">
        <v>4.8567478139931695E-3</v>
      </c>
    </row>
    <row r="35" spans="2:12" ht="25.5" x14ac:dyDescent="0.2">
      <c r="B35" s="44" t="s">
        <v>626</v>
      </c>
      <c r="C35" s="45" t="s">
        <v>627</v>
      </c>
      <c r="D35" s="44" t="s">
        <v>561</v>
      </c>
      <c r="E35" s="44" t="s">
        <v>628</v>
      </c>
      <c r="F35" s="84">
        <f>DMT_TUBOS_GRAMAS-F34</f>
        <v>5.6000000000000014</v>
      </c>
      <c r="G35" s="46" t="s">
        <v>832</v>
      </c>
      <c r="H35" s="47">
        <v>1719.82</v>
      </c>
      <c r="I35" s="47">
        <v>0.88</v>
      </c>
      <c r="J35" s="47">
        <v>1.06</v>
      </c>
      <c r="K35" s="47">
        <v>1823</v>
      </c>
      <c r="L35" s="48">
        <v>3.5724277159963235E-4</v>
      </c>
    </row>
    <row r="36" spans="2:12" ht="51" x14ac:dyDescent="0.2">
      <c r="B36" s="44" t="s">
        <v>629</v>
      </c>
      <c r="C36" s="45" t="s">
        <v>630</v>
      </c>
      <c r="D36" s="44" t="s">
        <v>557</v>
      </c>
      <c r="E36" s="44" t="s">
        <v>631</v>
      </c>
      <c r="F36" s="84"/>
      <c r="G36" s="46" t="s">
        <v>829</v>
      </c>
      <c r="H36" s="47">
        <v>2</v>
      </c>
      <c r="I36" s="47">
        <v>5227.16</v>
      </c>
      <c r="J36" s="47">
        <v>6309.18</v>
      </c>
      <c r="K36" s="47">
        <v>12618.36</v>
      </c>
      <c r="L36" s="48">
        <v>2.4727470649708923E-3</v>
      </c>
    </row>
    <row r="37" spans="2:12" ht="51" x14ac:dyDescent="0.2">
      <c r="B37" s="44" t="s">
        <v>632</v>
      </c>
      <c r="C37" s="45" t="s">
        <v>1276</v>
      </c>
      <c r="D37" s="44" t="s">
        <v>557</v>
      </c>
      <c r="E37" s="44" t="s">
        <v>634</v>
      </c>
      <c r="F37" s="84"/>
      <c r="G37" s="46" t="s">
        <v>829</v>
      </c>
      <c r="H37" s="47">
        <v>2</v>
      </c>
      <c r="I37" s="47">
        <v>7988.54</v>
      </c>
      <c r="J37" s="47">
        <v>9642.16</v>
      </c>
      <c r="K37" s="47">
        <v>19284.32</v>
      </c>
      <c r="L37" s="48">
        <v>3.7790367115821295E-3</v>
      </c>
    </row>
    <row r="38" spans="2:12" ht="25.5" x14ac:dyDescent="0.2">
      <c r="B38" s="44" t="s">
        <v>635</v>
      </c>
      <c r="C38" s="45" t="s">
        <v>636</v>
      </c>
      <c r="D38" s="44" t="s">
        <v>561</v>
      </c>
      <c r="E38" s="44" t="s">
        <v>637</v>
      </c>
      <c r="F38" s="84"/>
      <c r="G38" s="46" t="s">
        <v>831</v>
      </c>
      <c r="H38" s="47">
        <v>4</v>
      </c>
      <c r="I38" s="47">
        <v>885.33</v>
      </c>
      <c r="J38" s="47">
        <v>1068.5899999999999</v>
      </c>
      <c r="K38" s="47">
        <v>4274.3599999999997</v>
      </c>
      <c r="L38" s="48">
        <v>8.3762161997509848E-4</v>
      </c>
    </row>
    <row r="39" spans="2:12" ht="25.5" x14ac:dyDescent="0.2">
      <c r="B39" s="44" t="s">
        <v>638</v>
      </c>
      <c r="C39" s="45" t="s">
        <v>639</v>
      </c>
      <c r="D39" s="44" t="s">
        <v>561</v>
      </c>
      <c r="E39" s="44" t="s">
        <v>640</v>
      </c>
      <c r="F39" s="84"/>
      <c r="G39" s="46" t="s">
        <v>833</v>
      </c>
      <c r="H39" s="47">
        <v>4</v>
      </c>
      <c r="I39" s="47">
        <v>688.66</v>
      </c>
      <c r="J39" s="47">
        <v>831.21</v>
      </c>
      <c r="K39" s="47">
        <v>3324.84</v>
      </c>
      <c r="L39" s="48">
        <v>6.5154967456133937E-4</v>
      </c>
    </row>
    <row r="40" spans="2:12" ht="25.5" x14ac:dyDescent="0.2">
      <c r="B40" s="44" t="s">
        <v>641</v>
      </c>
      <c r="C40" s="45" t="s">
        <v>1256</v>
      </c>
      <c r="D40" s="44" t="s">
        <v>557</v>
      </c>
      <c r="E40" s="44" t="s">
        <v>642</v>
      </c>
      <c r="F40" s="84"/>
      <c r="G40" s="46" t="s">
        <v>829</v>
      </c>
      <c r="H40" s="47">
        <v>10</v>
      </c>
      <c r="I40" s="47">
        <v>1386.54</v>
      </c>
      <c r="J40" s="47">
        <v>1673.55</v>
      </c>
      <c r="K40" s="47">
        <v>16735.5</v>
      </c>
      <c r="L40" s="48">
        <v>3.2795591904035367E-3</v>
      </c>
    </row>
    <row r="41" spans="2:12" ht="25.5" x14ac:dyDescent="0.2">
      <c r="B41" s="44" t="s">
        <v>643</v>
      </c>
      <c r="C41" s="45" t="s">
        <v>1257</v>
      </c>
      <c r="D41" s="44" t="s">
        <v>557</v>
      </c>
      <c r="E41" s="44" t="s">
        <v>1158</v>
      </c>
      <c r="F41" s="84"/>
      <c r="G41" s="46" t="s">
        <v>829</v>
      </c>
      <c r="H41" s="47">
        <v>2</v>
      </c>
      <c r="I41" s="47">
        <v>2515.19</v>
      </c>
      <c r="J41" s="47">
        <v>3035.83</v>
      </c>
      <c r="K41" s="47">
        <v>6071.66</v>
      </c>
      <c r="L41" s="48">
        <v>1.1898281111413186E-3</v>
      </c>
    </row>
    <row r="42" spans="2:12" ht="25.5" x14ac:dyDescent="0.2">
      <c r="B42" s="44" t="s">
        <v>1159</v>
      </c>
      <c r="C42" s="45" t="s">
        <v>590</v>
      </c>
      <c r="D42" s="44" t="s">
        <v>561</v>
      </c>
      <c r="E42" s="44" t="s">
        <v>591</v>
      </c>
      <c r="F42" s="84">
        <f>DMT_BRITA</f>
        <v>12.2</v>
      </c>
      <c r="G42" s="46" t="s">
        <v>830</v>
      </c>
      <c r="H42" s="47">
        <v>563.52</v>
      </c>
      <c r="I42" s="47">
        <v>2.4700000000000002</v>
      </c>
      <c r="J42" s="47">
        <v>2.98</v>
      </c>
      <c r="K42" s="47">
        <v>1679.28</v>
      </c>
      <c r="L42" s="48">
        <v>3.2907879401636346E-4</v>
      </c>
    </row>
    <row r="43" spans="2:12" ht="25.5" x14ac:dyDescent="0.2">
      <c r="B43" s="44" t="s">
        <v>1160</v>
      </c>
      <c r="C43" s="45" t="s">
        <v>1303</v>
      </c>
      <c r="D43" s="44" t="s">
        <v>561</v>
      </c>
      <c r="E43" s="44" t="s">
        <v>1161</v>
      </c>
      <c r="F43" s="84"/>
      <c r="G43" s="46" t="s">
        <v>831</v>
      </c>
      <c r="H43" s="47">
        <v>14</v>
      </c>
      <c r="I43" s="47">
        <v>194.02</v>
      </c>
      <c r="J43" s="47">
        <v>234.18</v>
      </c>
      <c r="K43" s="47">
        <v>3278.52</v>
      </c>
      <c r="L43" s="48">
        <v>6.4247261192804529E-4</v>
      </c>
    </row>
    <row r="44" spans="2:12" x14ac:dyDescent="0.2">
      <c r="B44" s="43" t="s">
        <v>644</v>
      </c>
      <c r="C44" s="43"/>
      <c r="D44" s="43"/>
      <c r="E44" s="43" t="s">
        <v>645</v>
      </c>
      <c r="F44" s="156"/>
      <c r="G44" s="43"/>
      <c r="H44" s="41"/>
      <c r="I44" s="43"/>
      <c r="J44" s="43"/>
      <c r="K44" s="41">
        <v>1595359.03</v>
      </c>
      <c r="L44" s="42">
        <v>0.3126332866558974</v>
      </c>
    </row>
    <row r="45" spans="2:12" x14ac:dyDescent="0.2">
      <c r="B45" s="43" t="s">
        <v>646</v>
      </c>
      <c r="C45" s="43"/>
      <c r="D45" s="43"/>
      <c r="E45" s="43" t="s">
        <v>1164</v>
      </c>
      <c r="F45" s="156"/>
      <c r="G45" s="43"/>
      <c r="H45" s="41"/>
      <c r="I45" s="43"/>
      <c r="J45" s="43"/>
      <c r="K45" s="41">
        <v>1582442.39</v>
      </c>
      <c r="L45" s="42">
        <v>0.31010208738362388</v>
      </c>
    </row>
    <row r="46" spans="2:12" ht="25.5" x14ac:dyDescent="0.2">
      <c r="B46" s="44" t="s">
        <v>1165</v>
      </c>
      <c r="C46" s="45" t="s">
        <v>647</v>
      </c>
      <c r="D46" s="44" t="s">
        <v>561</v>
      </c>
      <c r="E46" s="44" t="s">
        <v>648</v>
      </c>
      <c r="F46" s="84"/>
      <c r="G46" s="46" t="s">
        <v>3</v>
      </c>
      <c r="H46" s="47">
        <v>3314.68</v>
      </c>
      <c r="I46" s="47">
        <v>2.17</v>
      </c>
      <c r="J46" s="47">
        <v>2.61</v>
      </c>
      <c r="K46" s="47">
        <v>8651.31</v>
      </c>
      <c r="L46" s="48">
        <v>1.6953472091978143E-3</v>
      </c>
    </row>
    <row r="47" spans="2:12" ht="38.25" x14ac:dyDescent="0.2">
      <c r="B47" s="44" t="s">
        <v>1166</v>
      </c>
      <c r="C47" s="45" t="s">
        <v>587</v>
      </c>
      <c r="D47" s="44" t="s">
        <v>561</v>
      </c>
      <c r="E47" s="44" t="s">
        <v>650</v>
      </c>
      <c r="F47" s="84"/>
      <c r="G47" s="46" t="s">
        <v>3</v>
      </c>
      <c r="H47" s="47">
        <v>2699.15</v>
      </c>
      <c r="I47" s="47">
        <v>6.28</v>
      </c>
      <c r="J47" s="47">
        <v>7.57</v>
      </c>
      <c r="K47" s="47">
        <v>20432.560000000001</v>
      </c>
      <c r="L47" s="48">
        <v>4.0040506666350981E-3</v>
      </c>
    </row>
    <row r="48" spans="2:12" ht="25.5" x14ac:dyDescent="0.2">
      <c r="B48" s="44" t="s">
        <v>1167</v>
      </c>
      <c r="C48" s="45" t="s">
        <v>590</v>
      </c>
      <c r="D48" s="44" t="s">
        <v>561</v>
      </c>
      <c r="E48" s="44" t="s">
        <v>651</v>
      </c>
      <c r="F48" s="84">
        <f>DMT_BF</f>
        <v>12.2</v>
      </c>
      <c r="G48" s="46" t="s">
        <v>830</v>
      </c>
      <c r="H48" s="47">
        <v>37224.89</v>
      </c>
      <c r="I48" s="47">
        <v>2.4700000000000002</v>
      </c>
      <c r="J48" s="47">
        <v>2.98</v>
      </c>
      <c r="K48" s="47">
        <v>110930.17</v>
      </c>
      <c r="L48" s="48">
        <v>2.1738344149653532E-2</v>
      </c>
    </row>
    <row r="49" spans="2:12" x14ac:dyDescent="0.2">
      <c r="B49" s="44" t="s">
        <v>1168</v>
      </c>
      <c r="C49" s="45" t="s">
        <v>593</v>
      </c>
      <c r="D49" s="44" t="s">
        <v>561</v>
      </c>
      <c r="E49" s="44" t="s">
        <v>594</v>
      </c>
      <c r="F49" s="84"/>
      <c r="G49" s="46" t="s">
        <v>3</v>
      </c>
      <c r="H49" s="47">
        <v>3051.22</v>
      </c>
      <c r="I49" s="47">
        <v>1.41</v>
      </c>
      <c r="J49" s="47">
        <v>1.7</v>
      </c>
      <c r="K49" s="47">
        <v>5187.07</v>
      </c>
      <c r="L49" s="48">
        <v>1.0164801224801453E-3</v>
      </c>
    </row>
    <row r="50" spans="2:12" ht="38.25" x14ac:dyDescent="0.2">
      <c r="B50" s="44" t="s">
        <v>1169</v>
      </c>
      <c r="C50" s="45" t="s">
        <v>652</v>
      </c>
      <c r="D50" s="44" t="s">
        <v>561</v>
      </c>
      <c r="E50" s="44" t="s">
        <v>653</v>
      </c>
      <c r="F50" s="84"/>
      <c r="G50" s="46" t="s">
        <v>3</v>
      </c>
      <c r="H50" s="47">
        <v>1257.8599999999999</v>
      </c>
      <c r="I50" s="47">
        <v>13.49</v>
      </c>
      <c r="J50" s="47">
        <v>16.28</v>
      </c>
      <c r="K50" s="47">
        <v>20477.96</v>
      </c>
      <c r="L50" s="48">
        <v>4.0129474421867293E-3</v>
      </c>
    </row>
    <row r="51" spans="2:12" ht="38.25" x14ac:dyDescent="0.2">
      <c r="B51" s="44" t="s">
        <v>1170</v>
      </c>
      <c r="C51" s="45" t="s">
        <v>587</v>
      </c>
      <c r="D51" s="44" t="s">
        <v>561</v>
      </c>
      <c r="E51" s="44" t="s">
        <v>588</v>
      </c>
      <c r="F51" s="84"/>
      <c r="G51" s="46" t="s">
        <v>3</v>
      </c>
      <c r="H51" s="47">
        <v>2294.38</v>
      </c>
      <c r="I51" s="47">
        <v>6.28</v>
      </c>
      <c r="J51" s="47">
        <v>7.57</v>
      </c>
      <c r="K51" s="47">
        <v>17368.45</v>
      </c>
      <c r="L51" s="48">
        <v>3.4035947429454936E-3</v>
      </c>
    </row>
    <row r="52" spans="2:12" ht="25.5" x14ac:dyDescent="0.2">
      <c r="B52" s="44" t="s">
        <v>1171</v>
      </c>
      <c r="C52" s="45" t="s">
        <v>1277</v>
      </c>
      <c r="D52" s="44" t="s">
        <v>561</v>
      </c>
      <c r="E52" s="44" t="s">
        <v>1278</v>
      </c>
      <c r="F52" s="84">
        <f>DMT_EMPRÉSTIMO</f>
        <v>1</v>
      </c>
      <c r="G52" s="46" t="s">
        <v>830</v>
      </c>
      <c r="H52" s="47">
        <v>2593.65</v>
      </c>
      <c r="I52" s="47">
        <v>3.12</v>
      </c>
      <c r="J52" s="47">
        <v>3.76</v>
      </c>
      <c r="K52" s="47">
        <v>9752.1200000000008</v>
      </c>
      <c r="L52" s="48">
        <v>1.911066581334178E-3</v>
      </c>
    </row>
    <row r="53" spans="2:12" ht="25.5" x14ac:dyDescent="0.2">
      <c r="B53" s="44" t="s">
        <v>1172</v>
      </c>
      <c r="C53" s="45" t="s">
        <v>654</v>
      </c>
      <c r="D53" s="44" t="s">
        <v>561</v>
      </c>
      <c r="E53" s="44" t="s">
        <v>655</v>
      </c>
      <c r="F53" s="84"/>
      <c r="G53" s="46" t="s">
        <v>3</v>
      </c>
      <c r="H53" s="47">
        <v>2962.71</v>
      </c>
      <c r="I53" s="47">
        <v>8.7200000000000006</v>
      </c>
      <c r="J53" s="47">
        <v>10.52</v>
      </c>
      <c r="K53" s="47">
        <v>31167.7</v>
      </c>
      <c r="L53" s="48">
        <v>6.1077539947261995E-3</v>
      </c>
    </row>
    <row r="54" spans="2:12" ht="25.5" x14ac:dyDescent="0.2">
      <c r="B54" s="44" t="s">
        <v>1173</v>
      </c>
      <c r="C54" s="45" t="s">
        <v>656</v>
      </c>
      <c r="D54" s="44" t="s">
        <v>561</v>
      </c>
      <c r="E54" s="44" t="s">
        <v>657</v>
      </c>
      <c r="F54" s="84"/>
      <c r="G54" s="46" t="s">
        <v>2</v>
      </c>
      <c r="H54" s="47">
        <v>7502.48</v>
      </c>
      <c r="I54" s="47">
        <v>1.23</v>
      </c>
      <c r="J54" s="47">
        <v>1.48</v>
      </c>
      <c r="K54" s="47">
        <v>11103.67</v>
      </c>
      <c r="L54" s="48">
        <v>2.1759220217924791E-3</v>
      </c>
    </row>
    <row r="55" spans="2:12" ht="25.5" x14ac:dyDescent="0.2">
      <c r="B55" s="44" t="s">
        <v>1314</v>
      </c>
      <c r="C55" s="45" t="s">
        <v>1315</v>
      </c>
      <c r="D55" s="44" t="s">
        <v>561</v>
      </c>
      <c r="E55" s="44" t="s">
        <v>1316</v>
      </c>
      <c r="F55" s="84"/>
      <c r="G55" s="46" t="s">
        <v>3</v>
      </c>
      <c r="H55" s="47">
        <v>1394.13</v>
      </c>
      <c r="I55" s="47">
        <v>47.5</v>
      </c>
      <c r="J55" s="47">
        <v>54.75</v>
      </c>
      <c r="K55" s="47">
        <v>76328.61</v>
      </c>
      <c r="L55" s="48">
        <v>1.4957676461188927E-2</v>
      </c>
    </row>
    <row r="56" spans="2:12" ht="25.5" x14ac:dyDescent="0.2">
      <c r="B56" s="44" t="s">
        <v>1174</v>
      </c>
      <c r="C56" s="45" t="s">
        <v>590</v>
      </c>
      <c r="D56" s="44" t="s">
        <v>561</v>
      </c>
      <c r="E56" s="44" t="s">
        <v>591</v>
      </c>
      <c r="F56" s="84">
        <v>30</v>
      </c>
      <c r="G56" s="46" t="s">
        <v>830</v>
      </c>
      <c r="H56" s="47">
        <v>47279.41</v>
      </c>
      <c r="I56" s="47">
        <v>2.4700000000000002</v>
      </c>
      <c r="J56" s="47">
        <v>2.98</v>
      </c>
      <c r="K56" s="47">
        <v>140892.64000000001</v>
      </c>
      <c r="L56" s="48">
        <v>2.7609916188474616E-2</v>
      </c>
    </row>
    <row r="57" spans="2:12" ht="25.5" x14ac:dyDescent="0.2">
      <c r="B57" s="44" t="s">
        <v>1177</v>
      </c>
      <c r="C57" s="45" t="s">
        <v>666</v>
      </c>
      <c r="D57" s="44" t="s">
        <v>561</v>
      </c>
      <c r="E57" s="44" t="s">
        <v>667</v>
      </c>
      <c r="F57" s="84">
        <f>DMT_JAZIDA-F56</f>
        <v>6.2999999999999972</v>
      </c>
      <c r="G57" s="46" t="s">
        <v>830</v>
      </c>
      <c r="H57" s="47">
        <v>9928.67</v>
      </c>
      <c r="I57" s="47">
        <v>0.97</v>
      </c>
      <c r="J57" s="47">
        <v>1.17</v>
      </c>
      <c r="K57" s="47">
        <v>11616.54</v>
      </c>
      <c r="L57" s="48">
        <v>2.2764261908930299E-3</v>
      </c>
    </row>
    <row r="58" spans="2:12" ht="38.25" x14ac:dyDescent="0.2">
      <c r="B58" s="44" t="s">
        <v>1180</v>
      </c>
      <c r="C58" s="45" t="s">
        <v>781</v>
      </c>
      <c r="D58" s="44" t="s">
        <v>561</v>
      </c>
      <c r="E58" s="44" t="s">
        <v>782</v>
      </c>
      <c r="F58" s="84"/>
      <c r="G58" s="46" t="s">
        <v>3</v>
      </c>
      <c r="H58" s="47">
        <v>1212.29</v>
      </c>
      <c r="I58" s="47">
        <v>24.29</v>
      </c>
      <c r="J58" s="47">
        <v>29.31</v>
      </c>
      <c r="K58" s="47">
        <v>35532.21</v>
      </c>
      <c r="L58" s="48">
        <v>6.9630417890620801E-3</v>
      </c>
    </row>
    <row r="59" spans="2:12" ht="38.25" x14ac:dyDescent="0.2">
      <c r="B59" s="44" t="s">
        <v>1183</v>
      </c>
      <c r="C59" s="45" t="s">
        <v>587</v>
      </c>
      <c r="D59" s="44" t="s">
        <v>561</v>
      </c>
      <c r="E59" s="44" t="s">
        <v>658</v>
      </c>
      <c r="F59" s="84"/>
      <c r="G59" s="46" t="s">
        <v>3</v>
      </c>
      <c r="H59" s="47">
        <v>1394.13</v>
      </c>
      <c r="I59" s="47">
        <v>6.28</v>
      </c>
      <c r="J59" s="47">
        <v>7.57</v>
      </c>
      <c r="K59" s="47">
        <v>10553.56</v>
      </c>
      <c r="L59" s="48">
        <v>2.0681201451689612E-3</v>
      </c>
    </row>
    <row r="60" spans="2:12" ht="25.5" x14ac:dyDescent="0.2">
      <c r="B60" s="44" t="s">
        <v>1186</v>
      </c>
      <c r="C60" s="45" t="s">
        <v>590</v>
      </c>
      <c r="D60" s="44" t="s">
        <v>561</v>
      </c>
      <c r="E60" s="44" t="s">
        <v>659</v>
      </c>
      <c r="F60" s="84">
        <f>DMT_BRITA</f>
        <v>12.2</v>
      </c>
      <c r="G60" s="46" t="s">
        <v>830</v>
      </c>
      <c r="H60" s="47">
        <v>16268.96</v>
      </c>
      <c r="I60" s="47">
        <v>2.4700000000000002</v>
      </c>
      <c r="J60" s="47">
        <v>2.98</v>
      </c>
      <c r="K60" s="47">
        <v>48481.5</v>
      </c>
      <c r="L60" s="48">
        <v>9.5006392930924721E-3</v>
      </c>
    </row>
    <row r="61" spans="2:12" ht="25.5" x14ac:dyDescent="0.2">
      <c r="B61" s="44" t="s">
        <v>1187</v>
      </c>
      <c r="C61" s="45" t="s">
        <v>660</v>
      </c>
      <c r="D61" s="44" t="s">
        <v>561</v>
      </c>
      <c r="E61" s="44" t="s">
        <v>661</v>
      </c>
      <c r="F61" s="84"/>
      <c r="G61" s="46" t="s">
        <v>3</v>
      </c>
      <c r="H61" s="47">
        <v>1212.29</v>
      </c>
      <c r="I61" s="47">
        <v>171.88</v>
      </c>
      <c r="J61" s="47">
        <v>207.45</v>
      </c>
      <c r="K61" s="47">
        <v>251489.56</v>
      </c>
      <c r="L61" s="48">
        <v>4.9282955262080104E-2</v>
      </c>
    </row>
    <row r="62" spans="2:12" x14ac:dyDescent="0.2">
      <c r="B62" s="44" t="s">
        <v>1188</v>
      </c>
      <c r="C62" s="45" t="s">
        <v>1279</v>
      </c>
      <c r="D62" s="44" t="s">
        <v>557</v>
      </c>
      <c r="E62" s="44" t="s">
        <v>1280</v>
      </c>
      <c r="F62" s="84"/>
      <c r="G62" s="46" t="s">
        <v>2</v>
      </c>
      <c r="H62" s="47">
        <v>7502.48</v>
      </c>
      <c r="I62" s="47">
        <v>5.69</v>
      </c>
      <c r="J62" s="47">
        <v>6.86</v>
      </c>
      <c r="K62" s="47">
        <v>51467.01</v>
      </c>
      <c r="L62" s="48">
        <v>1.0085692429153041E-2</v>
      </c>
    </row>
    <row r="63" spans="2:12" ht="38.25" x14ac:dyDescent="0.2">
      <c r="B63" s="44" t="s">
        <v>1189</v>
      </c>
      <c r="C63" s="45" t="s">
        <v>662</v>
      </c>
      <c r="D63" s="44" t="s">
        <v>561</v>
      </c>
      <c r="E63" s="44" t="s">
        <v>663</v>
      </c>
      <c r="F63" s="84">
        <v>30</v>
      </c>
      <c r="G63" s="46" t="s">
        <v>832</v>
      </c>
      <c r="H63" s="47">
        <v>270.08</v>
      </c>
      <c r="I63" s="47">
        <v>1.45</v>
      </c>
      <c r="J63" s="47">
        <v>1.75</v>
      </c>
      <c r="K63" s="47">
        <v>472.64</v>
      </c>
      <c r="L63" s="48">
        <v>9.2620528562177863E-5</v>
      </c>
    </row>
    <row r="64" spans="2:12" ht="38.25" x14ac:dyDescent="0.2">
      <c r="B64" s="44" t="s">
        <v>1252</v>
      </c>
      <c r="C64" s="45" t="s">
        <v>664</v>
      </c>
      <c r="D64" s="44" t="s">
        <v>561</v>
      </c>
      <c r="E64" s="44" t="s">
        <v>665</v>
      </c>
      <c r="F64" s="84">
        <f>DMT_EAI-F63</f>
        <v>180</v>
      </c>
      <c r="G64" s="46" t="s">
        <v>832</v>
      </c>
      <c r="H64" s="47">
        <v>1620.53</v>
      </c>
      <c r="I64" s="47">
        <v>0.56000000000000005</v>
      </c>
      <c r="J64" s="47">
        <v>0.67</v>
      </c>
      <c r="K64" s="47">
        <v>1085.75</v>
      </c>
      <c r="L64" s="48">
        <v>2.127681509952281E-4</v>
      </c>
    </row>
    <row r="65" spans="2:12" ht="25.5" x14ac:dyDescent="0.2">
      <c r="B65" s="44" t="s">
        <v>1253</v>
      </c>
      <c r="C65" s="45" t="s">
        <v>1175</v>
      </c>
      <c r="D65" s="44" t="s">
        <v>561</v>
      </c>
      <c r="E65" s="44" t="s">
        <v>1176</v>
      </c>
      <c r="F65" s="84"/>
      <c r="G65" s="46" t="s">
        <v>211</v>
      </c>
      <c r="H65" s="47">
        <v>766.69</v>
      </c>
      <c r="I65" s="47">
        <v>599</v>
      </c>
      <c r="J65" s="47">
        <v>690.46</v>
      </c>
      <c r="K65" s="47">
        <v>529368.77</v>
      </c>
      <c r="L65" s="48">
        <v>0.10373733768134301</v>
      </c>
    </row>
    <row r="66" spans="2:12" ht="25.5" x14ac:dyDescent="0.2">
      <c r="B66" s="44" t="s">
        <v>1254</v>
      </c>
      <c r="C66" s="45" t="s">
        <v>1178</v>
      </c>
      <c r="D66" s="44" t="s">
        <v>557</v>
      </c>
      <c r="E66" s="44" t="s">
        <v>1179</v>
      </c>
      <c r="F66" s="84"/>
      <c r="G66" s="46" t="s">
        <v>977</v>
      </c>
      <c r="H66" s="47">
        <v>766.69</v>
      </c>
      <c r="I66" s="47">
        <v>46.19</v>
      </c>
      <c r="J66" s="47">
        <v>55.75</v>
      </c>
      <c r="K66" s="47">
        <v>42742.96</v>
      </c>
      <c r="L66" s="48">
        <v>8.376090782650697E-3</v>
      </c>
    </row>
    <row r="67" spans="2:12" ht="25.5" x14ac:dyDescent="0.2">
      <c r="B67" s="44" t="s">
        <v>1255</v>
      </c>
      <c r="C67" s="45" t="s">
        <v>1181</v>
      </c>
      <c r="D67" s="44" t="s">
        <v>561</v>
      </c>
      <c r="E67" s="44" t="s">
        <v>1182</v>
      </c>
      <c r="F67" s="84">
        <v>30</v>
      </c>
      <c r="G67" s="46" t="s">
        <v>832</v>
      </c>
      <c r="H67" s="47">
        <v>23000.79</v>
      </c>
      <c r="I67" s="47">
        <v>1.66</v>
      </c>
      <c r="J67" s="47">
        <v>2</v>
      </c>
      <c r="K67" s="47">
        <v>46001.58</v>
      </c>
      <c r="L67" s="48">
        <v>9.0146637066166845E-3</v>
      </c>
    </row>
    <row r="68" spans="2:12" ht="25.5" x14ac:dyDescent="0.2">
      <c r="B68" s="44" t="s">
        <v>1281</v>
      </c>
      <c r="C68" s="45" t="s">
        <v>1184</v>
      </c>
      <c r="D68" s="44" t="s">
        <v>561</v>
      </c>
      <c r="E68" s="44" t="s">
        <v>1185</v>
      </c>
      <c r="F68" s="84">
        <f>DMT_CBUQ-F67</f>
        <v>18.399999999999999</v>
      </c>
      <c r="G68" s="46" t="s">
        <v>832</v>
      </c>
      <c r="H68" s="47">
        <v>14107.15</v>
      </c>
      <c r="I68" s="47">
        <v>0.66</v>
      </c>
      <c r="J68" s="47">
        <v>0.79</v>
      </c>
      <c r="K68" s="47">
        <v>11144.64</v>
      </c>
      <c r="L68" s="48">
        <v>2.1839506758530589E-3</v>
      </c>
    </row>
    <row r="69" spans="2:12" ht="25.5" x14ac:dyDescent="0.2">
      <c r="B69" s="44" t="s">
        <v>1282</v>
      </c>
      <c r="C69" s="45" t="s">
        <v>1283</v>
      </c>
      <c r="D69" s="44" t="s">
        <v>557</v>
      </c>
      <c r="E69" s="44" t="s">
        <v>1284</v>
      </c>
      <c r="F69" s="84"/>
      <c r="G69" s="46" t="s">
        <v>831</v>
      </c>
      <c r="H69" s="47">
        <v>1401.53</v>
      </c>
      <c r="I69" s="47">
        <v>51.14</v>
      </c>
      <c r="J69" s="47">
        <v>61.72</v>
      </c>
      <c r="K69" s="47">
        <v>86502.43</v>
      </c>
      <c r="L69" s="48">
        <v>1.6951381153759288E-2</v>
      </c>
    </row>
    <row r="70" spans="2:12" ht="25.5" x14ac:dyDescent="0.2">
      <c r="B70" s="44" t="s">
        <v>1285</v>
      </c>
      <c r="C70" s="45" t="s">
        <v>1258</v>
      </c>
      <c r="D70" s="44" t="s">
        <v>557</v>
      </c>
      <c r="E70" s="44" t="s">
        <v>668</v>
      </c>
      <c r="F70" s="84"/>
      <c r="G70" s="46" t="s">
        <v>4</v>
      </c>
      <c r="H70" s="47">
        <v>55</v>
      </c>
      <c r="I70" s="47">
        <v>27.7</v>
      </c>
      <c r="J70" s="47">
        <v>33.43</v>
      </c>
      <c r="K70" s="47">
        <v>1838.65</v>
      </c>
      <c r="L70" s="48">
        <v>3.6030961163009543E-4</v>
      </c>
    </row>
    <row r="71" spans="2:12" ht="25.5" x14ac:dyDescent="0.2">
      <c r="B71" s="44" t="s">
        <v>1286</v>
      </c>
      <c r="C71" s="45" t="s">
        <v>590</v>
      </c>
      <c r="D71" s="44" t="s">
        <v>561</v>
      </c>
      <c r="E71" s="44" t="s">
        <v>591</v>
      </c>
      <c r="F71" s="84">
        <f>DMT_BRITA</f>
        <v>12.2</v>
      </c>
      <c r="G71" s="46" t="s">
        <v>830</v>
      </c>
      <c r="H71" s="47">
        <v>621.59</v>
      </c>
      <c r="I71" s="47">
        <v>2.4700000000000002</v>
      </c>
      <c r="J71" s="47">
        <v>2.98</v>
      </c>
      <c r="K71" s="47">
        <v>1852.33</v>
      </c>
      <c r="L71" s="48">
        <v>3.6299040214873667E-4</v>
      </c>
    </row>
    <row r="72" spans="2:12" x14ac:dyDescent="0.2">
      <c r="B72" s="43" t="s">
        <v>649</v>
      </c>
      <c r="C72" s="43"/>
      <c r="D72" s="43"/>
      <c r="E72" s="43" t="s">
        <v>1190</v>
      </c>
      <c r="F72" s="156"/>
      <c r="G72" s="43"/>
      <c r="H72" s="41"/>
      <c r="I72" s="43"/>
      <c r="J72" s="43"/>
      <c r="K72" s="41">
        <v>12916.64</v>
      </c>
      <c r="L72" s="42">
        <v>2.5311992722735466E-3</v>
      </c>
    </row>
    <row r="73" spans="2:12" x14ac:dyDescent="0.2">
      <c r="B73" s="44" t="s">
        <v>1191</v>
      </c>
      <c r="C73" s="45" t="s">
        <v>1192</v>
      </c>
      <c r="D73" s="44" t="s">
        <v>557</v>
      </c>
      <c r="E73" s="44" t="s">
        <v>1193</v>
      </c>
      <c r="F73" s="84"/>
      <c r="G73" s="46" t="s">
        <v>2</v>
      </c>
      <c r="H73" s="47">
        <v>57.79</v>
      </c>
      <c r="I73" s="47">
        <v>6.71</v>
      </c>
      <c r="J73" s="47">
        <v>8.09</v>
      </c>
      <c r="K73" s="47">
        <v>467.52</v>
      </c>
      <c r="L73" s="48">
        <v>9.1617191759879379E-5</v>
      </c>
    </row>
    <row r="74" spans="2:12" ht="25.5" x14ac:dyDescent="0.2">
      <c r="B74" s="44" t="s">
        <v>1194</v>
      </c>
      <c r="C74" s="45" t="s">
        <v>1195</v>
      </c>
      <c r="D74" s="44" t="s">
        <v>561</v>
      </c>
      <c r="E74" s="44" t="s">
        <v>1196</v>
      </c>
      <c r="F74" s="84"/>
      <c r="G74" s="46" t="s">
        <v>3</v>
      </c>
      <c r="H74" s="47">
        <v>17.329999999999998</v>
      </c>
      <c r="I74" s="47">
        <v>197.03</v>
      </c>
      <c r="J74" s="47">
        <v>237.81</v>
      </c>
      <c r="K74" s="47">
        <v>4121.24</v>
      </c>
      <c r="L74" s="48">
        <v>8.0761557873135974E-4</v>
      </c>
    </row>
    <row r="75" spans="2:12" ht="25.5" x14ac:dyDescent="0.2">
      <c r="B75" s="44" t="s">
        <v>1197</v>
      </c>
      <c r="C75" s="45" t="s">
        <v>1198</v>
      </c>
      <c r="D75" s="44" t="s">
        <v>557</v>
      </c>
      <c r="E75" s="44" t="s">
        <v>1199</v>
      </c>
      <c r="F75" s="84"/>
      <c r="G75" s="46" t="s">
        <v>3</v>
      </c>
      <c r="H75" s="47">
        <v>8.66</v>
      </c>
      <c r="I75" s="47">
        <v>157.62</v>
      </c>
      <c r="J75" s="47">
        <v>190.24</v>
      </c>
      <c r="K75" s="47">
        <v>1647.47</v>
      </c>
      <c r="L75" s="48">
        <v>3.2284517220364581E-4</v>
      </c>
    </row>
    <row r="76" spans="2:12" ht="25.5" x14ac:dyDescent="0.2">
      <c r="B76" s="44" t="s">
        <v>1200</v>
      </c>
      <c r="C76" s="45" t="s">
        <v>590</v>
      </c>
      <c r="D76" s="44" t="s">
        <v>561</v>
      </c>
      <c r="E76" s="44" t="s">
        <v>591</v>
      </c>
      <c r="F76" s="84">
        <f>DMT_BRITA</f>
        <v>12.2</v>
      </c>
      <c r="G76" s="46" t="s">
        <v>830</v>
      </c>
      <c r="H76" s="47">
        <v>909.63</v>
      </c>
      <c r="I76" s="47">
        <v>2.4700000000000002</v>
      </c>
      <c r="J76" s="47">
        <v>2.98</v>
      </c>
      <c r="K76" s="47">
        <v>2710.69</v>
      </c>
      <c r="L76" s="48">
        <v>5.3119824934032224E-4</v>
      </c>
    </row>
    <row r="77" spans="2:12" x14ac:dyDescent="0.2">
      <c r="B77" s="44" t="s">
        <v>1201</v>
      </c>
      <c r="C77" s="45" t="s">
        <v>1279</v>
      </c>
      <c r="D77" s="44" t="s">
        <v>557</v>
      </c>
      <c r="E77" s="44" t="s">
        <v>1280</v>
      </c>
      <c r="F77" s="84"/>
      <c r="G77" s="46" t="s">
        <v>2</v>
      </c>
      <c r="H77" s="47">
        <v>57.79</v>
      </c>
      <c r="I77" s="47">
        <v>5.69</v>
      </c>
      <c r="J77" s="47">
        <v>6.86</v>
      </c>
      <c r="K77" s="47">
        <v>396.43</v>
      </c>
      <c r="L77" s="48">
        <v>7.7686095417028108E-5</v>
      </c>
    </row>
    <row r="78" spans="2:12" ht="38.25" x14ac:dyDescent="0.2">
      <c r="B78" s="44" t="s">
        <v>1202</v>
      </c>
      <c r="C78" s="45" t="s">
        <v>662</v>
      </c>
      <c r="D78" s="44" t="s">
        <v>561</v>
      </c>
      <c r="E78" s="44" t="s">
        <v>663</v>
      </c>
      <c r="F78" s="84">
        <v>30</v>
      </c>
      <c r="G78" s="46" t="s">
        <v>832</v>
      </c>
      <c r="H78" s="47">
        <v>2.08</v>
      </c>
      <c r="I78" s="47">
        <v>1.45</v>
      </c>
      <c r="J78" s="47">
        <v>1.75</v>
      </c>
      <c r="K78" s="47">
        <v>3.64</v>
      </c>
      <c r="L78" s="48">
        <v>7.133097578840712E-7</v>
      </c>
    </row>
    <row r="79" spans="2:12" ht="38.25" x14ac:dyDescent="0.2">
      <c r="B79" s="44" t="s">
        <v>1203</v>
      </c>
      <c r="C79" s="45" t="s">
        <v>664</v>
      </c>
      <c r="D79" s="44" t="s">
        <v>561</v>
      </c>
      <c r="E79" s="44" t="s">
        <v>665</v>
      </c>
      <c r="F79" s="84">
        <f>DMT_EAI-F78</f>
        <v>180</v>
      </c>
      <c r="G79" s="46" t="s">
        <v>832</v>
      </c>
      <c r="H79" s="47">
        <v>12.48</v>
      </c>
      <c r="I79" s="47">
        <v>0.56000000000000005</v>
      </c>
      <c r="J79" s="47">
        <v>0.67</v>
      </c>
      <c r="K79" s="47">
        <v>8.36</v>
      </c>
      <c r="L79" s="48">
        <v>1.6382608725029766E-6</v>
      </c>
    </row>
    <row r="80" spans="2:12" ht="25.5" x14ac:dyDescent="0.2">
      <c r="B80" s="44" t="s">
        <v>1204</v>
      </c>
      <c r="C80" s="45" t="s">
        <v>1205</v>
      </c>
      <c r="D80" s="44" t="s">
        <v>557</v>
      </c>
      <c r="E80" s="44" t="s">
        <v>1206</v>
      </c>
      <c r="F80" s="84"/>
      <c r="G80" s="46" t="s">
        <v>3</v>
      </c>
      <c r="H80" s="47">
        <v>1.73</v>
      </c>
      <c r="I80" s="47">
        <v>89.88</v>
      </c>
      <c r="J80" s="47">
        <v>108.48</v>
      </c>
      <c r="K80" s="47">
        <v>187.67</v>
      </c>
      <c r="L80" s="48">
        <v>3.6776605017061436E-5</v>
      </c>
    </row>
    <row r="81" spans="2:12" ht="25.5" x14ac:dyDescent="0.2">
      <c r="B81" s="44" t="s">
        <v>1207</v>
      </c>
      <c r="C81" s="45" t="s">
        <v>1175</v>
      </c>
      <c r="D81" s="44" t="s">
        <v>561</v>
      </c>
      <c r="E81" s="44" t="s">
        <v>1176</v>
      </c>
      <c r="F81" s="84"/>
      <c r="G81" s="46" t="s">
        <v>211</v>
      </c>
      <c r="H81" s="47">
        <v>4.41</v>
      </c>
      <c r="I81" s="47">
        <v>599</v>
      </c>
      <c r="J81" s="47">
        <v>690.46</v>
      </c>
      <c r="K81" s="47">
        <v>3044.92</v>
      </c>
      <c r="L81" s="48">
        <v>5.9669537032317746E-4</v>
      </c>
    </row>
    <row r="82" spans="2:12" ht="25.5" x14ac:dyDescent="0.2">
      <c r="B82" s="44" t="s">
        <v>1208</v>
      </c>
      <c r="C82" s="45" t="s">
        <v>1181</v>
      </c>
      <c r="D82" s="44" t="s">
        <v>561</v>
      </c>
      <c r="E82" s="44" t="s">
        <v>1182</v>
      </c>
      <c r="F82" s="84">
        <v>30</v>
      </c>
      <c r="G82" s="46" t="s">
        <v>832</v>
      </c>
      <c r="H82" s="47">
        <v>132.30000000000001</v>
      </c>
      <c r="I82" s="47">
        <v>1.66</v>
      </c>
      <c r="J82" s="47">
        <v>2</v>
      </c>
      <c r="K82" s="47">
        <v>264.60000000000002</v>
      </c>
      <c r="L82" s="48">
        <v>5.1852132400034401E-5</v>
      </c>
    </row>
    <row r="83" spans="2:12" ht="25.5" x14ac:dyDescent="0.2">
      <c r="B83" s="44" t="s">
        <v>1209</v>
      </c>
      <c r="C83" s="45" t="s">
        <v>1184</v>
      </c>
      <c r="D83" s="44" t="s">
        <v>561</v>
      </c>
      <c r="E83" s="44" t="s">
        <v>1185</v>
      </c>
      <c r="F83" s="84">
        <f>DMT_CBUQ-F82</f>
        <v>18.399999999999999</v>
      </c>
      <c r="G83" s="46" t="s">
        <v>832</v>
      </c>
      <c r="H83" s="47">
        <v>81.14</v>
      </c>
      <c r="I83" s="47">
        <v>0.66</v>
      </c>
      <c r="J83" s="47">
        <v>0.79</v>
      </c>
      <c r="K83" s="47">
        <v>64.099999999999994</v>
      </c>
      <c r="L83" s="48">
        <v>1.2561306450650814E-5</v>
      </c>
    </row>
    <row r="84" spans="2:12" x14ac:dyDescent="0.2">
      <c r="B84" s="43" t="s">
        <v>671</v>
      </c>
      <c r="C84" s="43"/>
      <c r="D84" s="43"/>
      <c r="E84" s="43" t="s">
        <v>672</v>
      </c>
      <c r="F84" s="156"/>
      <c r="G84" s="43"/>
      <c r="H84" s="41"/>
      <c r="I84" s="43"/>
      <c r="J84" s="43"/>
      <c r="K84" s="41">
        <v>21696.3</v>
      </c>
      <c r="L84" s="42">
        <v>4.2516984890055417E-3</v>
      </c>
    </row>
    <row r="85" spans="2:12" x14ac:dyDescent="0.2">
      <c r="B85" s="44" t="s">
        <v>673</v>
      </c>
      <c r="C85" s="45" t="s">
        <v>674</v>
      </c>
      <c r="D85" s="44" t="s">
        <v>557</v>
      </c>
      <c r="E85" s="44" t="s">
        <v>675</v>
      </c>
      <c r="F85" s="84"/>
      <c r="G85" s="46" t="s">
        <v>2</v>
      </c>
      <c r="H85" s="47">
        <v>266.17</v>
      </c>
      <c r="I85" s="47">
        <v>1.21</v>
      </c>
      <c r="J85" s="47">
        <v>1.46</v>
      </c>
      <c r="K85" s="47">
        <v>388.6</v>
      </c>
      <c r="L85" s="48">
        <v>7.6151695580700565E-5</v>
      </c>
    </row>
    <row r="86" spans="2:12" ht="25.5" x14ac:dyDescent="0.2">
      <c r="B86" s="44" t="s">
        <v>676</v>
      </c>
      <c r="C86" s="45" t="s">
        <v>677</v>
      </c>
      <c r="D86" s="44" t="s">
        <v>561</v>
      </c>
      <c r="E86" s="44" t="s">
        <v>678</v>
      </c>
      <c r="F86" s="84"/>
      <c r="G86" s="46" t="s">
        <v>2</v>
      </c>
      <c r="H86" s="47">
        <v>266.17</v>
      </c>
      <c r="I86" s="47">
        <v>0.64</v>
      </c>
      <c r="J86" s="47">
        <v>0.77</v>
      </c>
      <c r="K86" s="47">
        <v>204.95</v>
      </c>
      <c r="L86" s="48">
        <v>4.0162866724818787E-5</v>
      </c>
    </row>
    <row r="87" spans="2:12" ht="38.25" x14ac:dyDescent="0.2">
      <c r="B87" s="44" t="s">
        <v>679</v>
      </c>
      <c r="C87" s="45" t="s">
        <v>587</v>
      </c>
      <c r="D87" s="44" t="s">
        <v>561</v>
      </c>
      <c r="E87" s="44" t="s">
        <v>588</v>
      </c>
      <c r="F87" s="84"/>
      <c r="G87" s="46" t="s">
        <v>3</v>
      </c>
      <c r="H87" s="47">
        <v>26.61</v>
      </c>
      <c r="I87" s="47">
        <v>6.28</v>
      </c>
      <c r="J87" s="47">
        <v>7.57</v>
      </c>
      <c r="K87" s="47">
        <v>201.43</v>
      </c>
      <c r="L87" s="48">
        <v>3.9473072673238588E-5</v>
      </c>
    </row>
    <row r="88" spans="2:12" ht="25.5" x14ac:dyDescent="0.2">
      <c r="B88" s="44" t="s">
        <v>680</v>
      </c>
      <c r="C88" s="45" t="s">
        <v>590</v>
      </c>
      <c r="D88" s="44" t="s">
        <v>561</v>
      </c>
      <c r="E88" s="44" t="s">
        <v>591</v>
      </c>
      <c r="F88" s="84">
        <f>DMT_BF</f>
        <v>12.2</v>
      </c>
      <c r="G88" s="46" t="s">
        <v>830</v>
      </c>
      <c r="H88" s="47">
        <v>324.64</v>
      </c>
      <c r="I88" s="47">
        <v>2.4700000000000002</v>
      </c>
      <c r="J88" s="47">
        <v>2.98</v>
      </c>
      <c r="K88" s="47">
        <v>967.42</v>
      </c>
      <c r="L88" s="48">
        <v>1.8957970493741982E-4</v>
      </c>
    </row>
    <row r="89" spans="2:12" ht="25.5" x14ac:dyDescent="0.2">
      <c r="B89" s="44" t="s">
        <v>681</v>
      </c>
      <c r="C89" s="45" t="s">
        <v>682</v>
      </c>
      <c r="D89" s="44" t="s">
        <v>561</v>
      </c>
      <c r="E89" s="44" t="s">
        <v>683</v>
      </c>
      <c r="F89" s="84"/>
      <c r="G89" s="46" t="s">
        <v>3</v>
      </c>
      <c r="H89" s="47">
        <v>18.27</v>
      </c>
      <c r="I89" s="47">
        <v>803.76</v>
      </c>
      <c r="J89" s="47">
        <v>970.13</v>
      </c>
      <c r="K89" s="47">
        <v>17724.27</v>
      </c>
      <c r="L89" s="48">
        <v>3.4733227314208532E-3</v>
      </c>
    </row>
    <row r="90" spans="2:12" ht="51" x14ac:dyDescent="0.2">
      <c r="B90" s="44" t="s">
        <v>684</v>
      </c>
      <c r="C90" s="45" t="s">
        <v>685</v>
      </c>
      <c r="D90" s="44" t="s">
        <v>557</v>
      </c>
      <c r="E90" s="44" t="s">
        <v>686</v>
      </c>
      <c r="F90" s="84"/>
      <c r="G90" s="46" t="s">
        <v>4</v>
      </c>
      <c r="H90" s="47">
        <v>70.2</v>
      </c>
      <c r="I90" s="47">
        <v>25.58</v>
      </c>
      <c r="J90" s="47">
        <v>30.87</v>
      </c>
      <c r="K90" s="47">
        <v>2167.0700000000002</v>
      </c>
      <c r="L90" s="48">
        <v>4.2466818049940498E-4</v>
      </c>
    </row>
    <row r="91" spans="2:12" ht="25.5" x14ac:dyDescent="0.2">
      <c r="B91" s="44" t="s">
        <v>687</v>
      </c>
      <c r="C91" s="45" t="s">
        <v>624</v>
      </c>
      <c r="D91" s="44" t="s">
        <v>561</v>
      </c>
      <c r="E91" s="44" t="s">
        <v>625</v>
      </c>
      <c r="F91" s="84">
        <v>30</v>
      </c>
      <c r="G91" s="46" t="s">
        <v>832</v>
      </c>
      <c r="H91" s="47">
        <v>14.74</v>
      </c>
      <c r="I91" s="47">
        <v>2.23</v>
      </c>
      <c r="J91" s="47">
        <v>2.69</v>
      </c>
      <c r="K91" s="47">
        <v>39.65</v>
      </c>
      <c r="L91" s="48">
        <v>7.7699812912372033E-6</v>
      </c>
    </row>
    <row r="92" spans="2:12" ht="25.5" x14ac:dyDescent="0.2">
      <c r="B92" s="44" t="s">
        <v>688</v>
      </c>
      <c r="C92" s="45" t="s">
        <v>627</v>
      </c>
      <c r="D92" s="44" t="s">
        <v>561</v>
      </c>
      <c r="E92" s="44" t="s">
        <v>628</v>
      </c>
      <c r="F92" s="84">
        <f>DMT_PISO_TÁTIL-F91</f>
        <v>5.6000000000000014</v>
      </c>
      <c r="G92" s="46" t="s">
        <v>832</v>
      </c>
      <c r="H92" s="47">
        <v>2.75</v>
      </c>
      <c r="I92" s="47">
        <v>0.88</v>
      </c>
      <c r="J92" s="47">
        <v>1.06</v>
      </c>
      <c r="K92" s="47">
        <v>2.91</v>
      </c>
      <c r="L92" s="48">
        <v>5.7025587786885908E-7</v>
      </c>
    </row>
    <row r="93" spans="2:12" x14ac:dyDescent="0.2">
      <c r="B93" s="43" t="s">
        <v>689</v>
      </c>
      <c r="C93" s="43"/>
      <c r="D93" s="43"/>
      <c r="E93" s="43" t="s">
        <v>690</v>
      </c>
      <c r="F93" s="156"/>
      <c r="G93" s="43"/>
      <c r="H93" s="41"/>
      <c r="I93" s="43"/>
      <c r="J93" s="43"/>
      <c r="K93" s="41">
        <v>25554.15</v>
      </c>
      <c r="L93" s="42">
        <v>5.0076990520420981E-3</v>
      </c>
    </row>
    <row r="94" spans="2:12" ht="38.25" x14ac:dyDescent="0.2">
      <c r="B94" s="44" t="s">
        <v>691</v>
      </c>
      <c r="C94" s="45" t="s">
        <v>692</v>
      </c>
      <c r="D94" s="44" t="s">
        <v>561</v>
      </c>
      <c r="E94" s="44" t="s">
        <v>693</v>
      </c>
      <c r="F94" s="84"/>
      <c r="G94" s="46" t="s">
        <v>831</v>
      </c>
      <c r="H94" s="47">
        <v>315.95</v>
      </c>
      <c r="I94" s="47">
        <v>5.38</v>
      </c>
      <c r="J94" s="47">
        <v>6.49</v>
      </c>
      <c r="K94" s="47">
        <v>2050.5100000000002</v>
      </c>
      <c r="L94" s="48">
        <v>4.018265911095788E-4</v>
      </c>
    </row>
    <row r="95" spans="2:12" ht="38.25" x14ac:dyDescent="0.2">
      <c r="B95" s="44" t="s">
        <v>694</v>
      </c>
      <c r="C95" s="45" t="s">
        <v>695</v>
      </c>
      <c r="D95" s="44" t="s">
        <v>561</v>
      </c>
      <c r="E95" s="44" t="s">
        <v>696</v>
      </c>
      <c r="F95" s="84"/>
      <c r="G95" s="46" t="s">
        <v>2</v>
      </c>
      <c r="H95" s="47">
        <v>211.24</v>
      </c>
      <c r="I95" s="47">
        <v>23.66</v>
      </c>
      <c r="J95" s="47">
        <v>28.55</v>
      </c>
      <c r="K95" s="47">
        <v>6030.9</v>
      </c>
      <c r="L95" s="48">
        <v>1.1818406095667705E-3</v>
      </c>
    </row>
    <row r="96" spans="2:12" ht="25.5" x14ac:dyDescent="0.2">
      <c r="B96" s="44" t="s">
        <v>697</v>
      </c>
      <c r="C96" s="45" t="s">
        <v>698</v>
      </c>
      <c r="D96" s="44" t="s">
        <v>561</v>
      </c>
      <c r="E96" s="44" t="s">
        <v>699</v>
      </c>
      <c r="F96" s="84"/>
      <c r="G96" s="46" t="s">
        <v>2</v>
      </c>
      <c r="H96" s="47">
        <v>21.78</v>
      </c>
      <c r="I96" s="47">
        <v>45.8</v>
      </c>
      <c r="J96" s="47">
        <v>55.28</v>
      </c>
      <c r="K96" s="47">
        <v>1203.99</v>
      </c>
      <c r="L96" s="48">
        <v>2.3593896027330848E-4</v>
      </c>
    </row>
    <row r="97" spans="2:12" ht="38.25" x14ac:dyDescent="0.2">
      <c r="B97" s="44" t="s">
        <v>700</v>
      </c>
      <c r="C97" s="45" t="s">
        <v>701</v>
      </c>
      <c r="D97" s="44" t="s">
        <v>557</v>
      </c>
      <c r="E97" s="44" t="s">
        <v>702</v>
      </c>
      <c r="F97" s="84"/>
      <c r="G97" s="46" t="s">
        <v>833</v>
      </c>
      <c r="H97" s="47">
        <v>17</v>
      </c>
      <c r="I97" s="47">
        <v>495.59</v>
      </c>
      <c r="J97" s="47">
        <v>598.16999999999996</v>
      </c>
      <c r="K97" s="47">
        <v>10168.89</v>
      </c>
      <c r="L97" s="48">
        <v>1.9927385889697124E-3</v>
      </c>
    </row>
    <row r="98" spans="2:12" ht="25.5" x14ac:dyDescent="0.2">
      <c r="B98" s="44" t="s">
        <v>703</v>
      </c>
      <c r="C98" s="45" t="s">
        <v>1287</v>
      </c>
      <c r="D98" s="44" t="s">
        <v>557</v>
      </c>
      <c r="E98" s="44" t="s">
        <v>1288</v>
      </c>
      <c r="F98" s="84"/>
      <c r="G98" s="46" t="s">
        <v>829</v>
      </c>
      <c r="H98" s="47">
        <v>6</v>
      </c>
      <c r="I98" s="47">
        <v>430.19</v>
      </c>
      <c r="J98" s="47">
        <v>519.23</v>
      </c>
      <c r="K98" s="47">
        <v>3115.38</v>
      </c>
      <c r="L98" s="48">
        <v>6.1050300920793344E-4</v>
      </c>
    </row>
    <row r="99" spans="2:12" ht="25.5" x14ac:dyDescent="0.2">
      <c r="B99" s="44" t="s">
        <v>705</v>
      </c>
      <c r="C99" s="45" t="s">
        <v>704</v>
      </c>
      <c r="D99" s="44" t="s">
        <v>557</v>
      </c>
      <c r="E99" s="44" t="s">
        <v>1317</v>
      </c>
      <c r="F99" s="84"/>
      <c r="G99" s="46" t="s">
        <v>829</v>
      </c>
      <c r="H99" s="47">
        <v>10</v>
      </c>
      <c r="I99" s="47">
        <v>91.03</v>
      </c>
      <c r="J99" s="47">
        <v>109.87</v>
      </c>
      <c r="K99" s="47">
        <v>1098.7</v>
      </c>
      <c r="L99" s="48">
        <v>2.1530588763385411E-4</v>
      </c>
    </row>
    <row r="100" spans="2:12" ht="25.5" x14ac:dyDescent="0.2">
      <c r="B100" s="44" t="s">
        <v>1211</v>
      </c>
      <c r="C100" s="45" t="s">
        <v>706</v>
      </c>
      <c r="D100" s="44" t="s">
        <v>557</v>
      </c>
      <c r="E100" s="44" t="s">
        <v>707</v>
      </c>
      <c r="F100" s="84"/>
      <c r="G100" s="46" t="s">
        <v>829</v>
      </c>
      <c r="H100" s="47">
        <v>5</v>
      </c>
      <c r="I100" s="47">
        <v>282.52999999999997</v>
      </c>
      <c r="J100" s="47">
        <v>341.01</v>
      </c>
      <c r="K100" s="47">
        <v>1705.05</v>
      </c>
      <c r="L100" s="48">
        <v>3.3412879194511967E-4</v>
      </c>
    </row>
    <row r="101" spans="2:12" x14ac:dyDescent="0.2">
      <c r="B101" s="44" t="s">
        <v>1289</v>
      </c>
      <c r="C101" s="45" t="s">
        <v>1102</v>
      </c>
      <c r="D101" s="44" t="s">
        <v>557</v>
      </c>
      <c r="E101" s="44" t="s">
        <v>1103</v>
      </c>
      <c r="F101" s="84"/>
      <c r="G101" s="46" t="s">
        <v>4</v>
      </c>
      <c r="H101" s="47">
        <v>11</v>
      </c>
      <c r="I101" s="47">
        <v>13.62</v>
      </c>
      <c r="J101" s="47">
        <v>16.43</v>
      </c>
      <c r="K101" s="47">
        <v>180.73</v>
      </c>
      <c r="L101" s="48">
        <v>3.5416613335820928E-5</v>
      </c>
    </row>
    <row r="102" spans="2:12" x14ac:dyDescent="0.2">
      <c r="B102" s="43" t="s">
        <v>274</v>
      </c>
      <c r="C102" s="43"/>
      <c r="D102" s="43"/>
      <c r="E102" s="43" t="s">
        <v>553</v>
      </c>
      <c r="F102" s="156"/>
      <c r="G102" s="43"/>
      <c r="H102" s="41"/>
      <c r="I102" s="43"/>
      <c r="J102" s="43"/>
      <c r="K102" s="41">
        <v>2594918.4900000002</v>
      </c>
      <c r="L102" s="42">
        <v>0.50851117577769223</v>
      </c>
    </row>
    <row r="103" spans="2:12" x14ac:dyDescent="0.2">
      <c r="B103" s="43" t="s">
        <v>708</v>
      </c>
      <c r="C103" s="43"/>
      <c r="D103" s="43"/>
      <c r="E103" s="43" t="s">
        <v>579</v>
      </c>
      <c r="F103" s="156"/>
      <c r="G103" s="43"/>
      <c r="H103" s="41"/>
      <c r="I103" s="43"/>
      <c r="J103" s="43"/>
      <c r="K103" s="41">
        <v>781581.07</v>
      </c>
      <c r="L103" s="42">
        <v>0.15316192412320695</v>
      </c>
    </row>
    <row r="104" spans="2:12" ht="63.75" x14ac:dyDescent="0.2">
      <c r="B104" s="44" t="s">
        <v>709</v>
      </c>
      <c r="C104" s="45" t="s">
        <v>581</v>
      </c>
      <c r="D104" s="44" t="s">
        <v>561</v>
      </c>
      <c r="E104" s="44" t="s">
        <v>582</v>
      </c>
      <c r="F104" s="84"/>
      <c r="G104" s="46" t="s">
        <v>3</v>
      </c>
      <c r="H104" s="47">
        <v>145.16</v>
      </c>
      <c r="I104" s="47">
        <v>7.38</v>
      </c>
      <c r="J104" s="47">
        <v>8.9</v>
      </c>
      <c r="K104" s="47">
        <v>1291.92</v>
      </c>
      <c r="L104" s="48">
        <v>2.5317009406746957E-4</v>
      </c>
    </row>
    <row r="105" spans="2:12" ht="51" x14ac:dyDescent="0.2">
      <c r="B105" s="44" t="s">
        <v>710</v>
      </c>
      <c r="C105" s="45" t="s">
        <v>584</v>
      </c>
      <c r="D105" s="44" t="s">
        <v>561</v>
      </c>
      <c r="E105" s="44" t="s">
        <v>585</v>
      </c>
      <c r="F105" s="84"/>
      <c r="G105" s="46" t="s">
        <v>3</v>
      </c>
      <c r="H105" s="47">
        <v>2408.42</v>
      </c>
      <c r="I105" s="47">
        <v>5.26</v>
      </c>
      <c r="J105" s="47">
        <v>6.34</v>
      </c>
      <c r="K105" s="47">
        <v>15269.38</v>
      </c>
      <c r="L105" s="48">
        <v>2.9922521293516149E-3</v>
      </c>
    </row>
    <row r="106" spans="2:12" ht="38.25" x14ac:dyDescent="0.2">
      <c r="B106" s="44" t="s">
        <v>711</v>
      </c>
      <c r="C106" s="45" t="s">
        <v>587</v>
      </c>
      <c r="D106" s="44" t="s">
        <v>561</v>
      </c>
      <c r="E106" s="44" t="s">
        <v>588</v>
      </c>
      <c r="F106" s="84"/>
      <c r="G106" s="46" t="s">
        <v>3</v>
      </c>
      <c r="H106" s="47">
        <v>712.34</v>
      </c>
      <c r="I106" s="47">
        <v>6.28</v>
      </c>
      <c r="J106" s="47">
        <v>7.57</v>
      </c>
      <c r="K106" s="47">
        <v>5392.41</v>
      </c>
      <c r="L106" s="48">
        <v>1.0567194152504517E-3</v>
      </c>
    </row>
    <row r="107" spans="2:12" ht="25.5" x14ac:dyDescent="0.2">
      <c r="B107" s="44" t="s">
        <v>712</v>
      </c>
      <c r="C107" s="45" t="s">
        <v>590</v>
      </c>
      <c r="D107" s="44" t="s">
        <v>561</v>
      </c>
      <c r="E107" s="44" t="s">
        <v>591</v>
      </c>
      <c r="F107" s="84">
        <f>DMT_BF</f>
        <v>12.2</v>
      </c>
      <c r="G107" s="46" t="s">
        <v>830</v>
      </c>
      <c r="H107" s="47">
        <v>8690.58</v>
      </c>
      <c r="I107" s="47">
        <v>2.4700000000000002</v>
      </c>
      <c r="J107" s="47">
        <v>2.98</v>
      </c>
      <c r="K107" s="47">
        <v>25897.919999999998</v>
      </c>
      <c r="L107" s="48">
        <v>5.0750656716761107E-3</v>
      </c>
    </row>
    <row r="108" spans="2:12" x14ac:dyDescent="0.2">
      <c r="B108" s="44" t="s">
        <v>713</v>
      </c>
      <c r="C108" s="45" t="s">
        <v>593</v>
      </c>
      <c r="D108" s="44" t="s">
        <v>561</v>
      </c>
      <c r="E108" s="44" t="s">
        <v>594</v>
      </c>
      <c r="F108" s="84"/>
      <c r="G108" s="46" t="s">
        <v>3</v>
      </c>
      <c r="H108" s="47">
        <v>712.34</v>
      </c>
      <c r="I108" s="47">
        <v>1.41</v>
      </c>
      <c r="J108" s="47">
        <v>1.7</v>
      </c>
      <c r="K108" s="47">
        <v>1210.97</v>
      </c>
      <c r="L108" s="48">
        <v>2.3730679052331695E-4</v>
      </c>
    </row>
    <row r="109" spans="2:12" ht="25.5" x14ac:dyDescent="0.2">
      <c r="B109" s="44" t="s">
        <v>714</v>
      </c>
      <c r="C109" s="45" t="s">
        <v>596</v>
      </c>
      <c r="D109" s="44" t="s">
        <v>561</v>
      </c>
      <c r="E109" s="44" t="s">
        <v>597</v>
      </c>
      <c r="F109" s="84"/>
      <c r="G109" s="46" t="s">
        <v>2</v>
      </c>
      <c r="H109" s="47">
        <v>1564.67</v>
      </c>
      <c r="I109" s="47">
        <v>26.04</v>
      </c>
      <c r="J109" s="47">
        <v>31.43</v>
      </c>
      <c r="K109" s="47">
        <v>49177.57</v>
      </c>
      <c r="L109" s="48">
        <v>9.6370441071502635E-3</v>
      </c>
    </row>
    <row r="110" spans="2:12" ht="25.5" x14ac:dyDescent="0.2">
      <c r="B110" s="44" t="s">
        <v>715</v>
      </c>
      <c r="C110" s="45" t="s">
        <v>599</v>
      </c>
      <c r="D110" s="44" t="s">
        <v>561</v>
      </c>
      <c r="E110" s="44" t="s">
        <v>600</v>
      </c>
      <c r="F110" s="84"/>
      <c r="G110" s="46" t="s">
        <v>2</v>
      </c>
      <c r="H110" s="47">
        <v>181.2</v>
      </c>
      <c r="I110" s="47">
        <v>5.84</v>
      </c>
      <c r="J110" s="47">
        <v>7.04</v>
      </c>
      <c r="K110" s="47">
        <v>1275.6400000000001</v>
      </c>
      <c r="L110" s="48">
        <v>2.4997979657891112E-4</v>
      </c>
    </row>
    <row r="111" spans="2:12" ht="25.5" x14ac:dyDescent="0.2">
      <c r="B111" s="44" t="s">
        <v>716</v>
      </c>
      <c r="C111" s="45" t="s">
        <v>602</v>
      </c>
      <c r="D111" s="44" t="s">
        <v>561</v>
      </c>
      <c r="E111" s="44" t="s">
        <v>603</v>
      </c>
      <c r="F111" s="84"/>
      <c r="G111" s="46" t="s">
        <v>2</v>
      </c>
      <c r="H111" s="47">
        <v>693.72</v>
      </c>
      <c r="I111" s="47">
        <v>2.87</v>
      </c>
      <c r="J111" s="47">
        <v>3.46</v>
      </c>
      <c r="K111" s="47">
        <v>2400.27</v>
      </c>
      <c r="L111" s="48">
        <v>4.7036703641659328E-4</v>
      </c>
    </row>
    <row r="112" spans="2:12" ht="51" x14ac:dyDescent="0.2">
      <c r="B112" s="44" t="s">
        <v>717</v>
      </c>
      <c r="C112" s="45" t="s">
        <v>605</v>
      </c>
      <c r="D112" s="44" t="s">
        <v>561</v>
      </c>
      <c r="E112" s="44" t="s">
        <v>606</v>
      </c>
      <c r="F112" s="84"/>
      <c r="G112" s="46" t="s">
        <v>3</v>
      </c>
      <c r="H112" s="47">
        <v>127.5</v>
      </c>
      <c r="I112" s="47">
        <v>17.64</v>
      </c>
      <c r="J112" s="47">
        <v>21.29</v>
      </c>
      <c r="K112" s="47">
        <v>2714.47</v>
      </c>
      <c r="L112" s="48">
        <v>5.3193899408889413E-4</v>
      </c>
    </row>
    <row r="113" spans="2:12" ht="51" x14ac:dyDescent="0.2">
      <c r="B113" s="44" t="s">
        <v>718</v>
      </c>
      <c r="C113" s="45" t="s">
        <v>608</v>
      </c>
      <c r="D113" s="44" t="s">
        <v>561</v>
      </c>
      <c r="E113" s="44" t="s">
        <v>609</v>
      </c>
      <c r="F113" s="84"/>
      <c r="G113" s="46" t="s">
        <v>3</v>
      </c>
      <c r="H113" s="47">
        <v>1806.65</v>
      </c>
      <c r="I113" s="47">
        <v>16.059999999999999</v>
      </c>
      <c r="J113" s="47">
        <v>19.38</v>
      </c>
      <c r="K113" s="47">
        <v>35012.870000000003</v>
      </c>
      <c r="L113" s="48">
        <v>6.8612697314633132E-3</v>
      </c>
    </row>
    <row r="114" spans="2:12" ht="25.5" x14ac:dyDescent="0.2">
      <c r="B114" s="44" t="s">
        <v>719</v>
      </c>
      <c r="C114" s="45" t="s">
        <v>611</v>
      </c>
      <c r="D114" s="44" t="s">
        <v>561</v>
      </c>
      <c r="E114" s="44" t="s">
        <v>612</v>
      </c>
      <c r="F114" s="84"/>
      <c r="G114" s="46" t="s">
        <v>831</v>
      </c>
      <c r="H114" s="47">
        <v>96</v>
      </c>
      <c r="I114" s="47">
        <v>73.260000000000005</v>
      </c>
      <c r="J114" s="47">
        <v>84.44</v>
      </c>
      <c r="K114" s="47">
        <v>8106.24</v>
      </c>
      <c r="L114" s="48">
        <v>1.5885329922390586E-3</v>
      </c>
    </row>
    <row r="115" spans="2:12" ht="25.5" x14ac:dyDescent="0.2">
      <c r="B115" s="44" t="s">
        <v>720</v>
      </c>
      <c r="C115" s="45" t="s">
        <v>721</v>
      </c>
      <c r="D115" s="44" t="s">
        <v>561</v>
      </c>
      <c r="E115" s="44" t="s">
        <v>722</v>
      </c>
      <c r="F115" s="84"/>
      <c r="G115" s="46" t="s">
        <v>831</v>
      </c>
      <c r="H115" s="47">
        <v>87</v>
      </c>
      <c r="I115" s="47">
        <v>130.53</v>
      </c>
      <c r="J115" s="47">
        <v>150.46</v>
      </c>
      <c r="K115" s="47">
        <v>13090.02</v>
      </c>
      <c r="L115" s="48">
        <v>2.5651755485982552E-3</v>
      </c>
    </row>
    <row r="116" spans="2:12" ht="25.5" x14ac:dyDescent="0.2">
      <c r="B116" s="44" t="s">
        <v>723</v>
      </c>
      <c r="C116" s="45" t="s">
        <v>614</v>
      </c>
      <c r="D116" s="44" t="s">
        <v>561</v>
      </c>
      <c r="E116" s="44" t="s">
        <v>615</v>
      </c>
      <c r="F116" s="84"/>
      <c r="G116" s="46" t="s">
        <v>831</v>
      </c>
      <c r="H116" s="47">
        <v>492</v>
      </c>
      <c r="I116" s="47">
        <v>482.52</v>
      </c>
      <c r="J116" s="47">
        <v>556.20000000000005</v>
      </c>
      <c r="K116" s="47">
        <v>273650.40000000002</v>
      </c>
      <c r="L116" s="48">
        <v>5.3625686969472314E-2</v>
      </c>
    </row>
    <row r="117" spans="2:12" ht="38.25" x14ac:dyDescent="0.2">
      <c r="B117" s="44" t="s">
        <v>724</v>
      </c>
      <c r="C117" s="45" t="s">
        <v>617</v>
      </c>
      <c r="D117" s="44" t="s">
        <v>561</v>
      </c>
      <c r="E117" s="44" t="s">
        <v>618</v>
      </c>
      <c r="F117" s="84"/>
      <c r="G117" s="46" t="s">
        <v>831</v>
      </c>
      <c r="H117" s="47">
        <v>96</v>
      </c>
      <c r="I117" s="47">
        <v>49.9</v>
      </c>
      <c r="J117" s="47">
        <v>60.22</v>
      </c>
      <c r="K117" s="47">
        <v>5781.12</v>
      </c>
      <c r="L117" s="48">
        <v>1.1328926668952642E-3</v>
      </c>
    </row>
    <row r="118" spans="2:12" ht="38.25" x14ac:dyDescent="0.2">
      <c r="B118" s="44" t="s">
        <v>725</v>
      </c>
      <c r="C118" s="45" t="s">
        <v>726</v>
      </c>
      <c r="D118" s="44" t="s">
        <v>561</v>
      </c>
      <c r="E118" s="44" t="s">
        <v>727</v>
      </c>
      <c r="F118" s="84"/>
      <c r="G118" s="46" t="s">
        <v>831</v>
      </c>
      <c r="H118" s="47">
        <v>87</v>
      </c>
      <c r="I118" s="47">
        <v>72.41</v>
      </c>
      <c r="J118" s="47">
        <v>87.39</v>
      </c>
      <c r="K118" s="47">
        <v>7602.93</v>
      </c>
      <c r="L118" s="48">
        <v>1.4899022410740498E-3</v>
      </c>
    </row>
    <row r="119" spans="2:12" ht="38.25" x14ac:dyDescent="0.2">
      <c r="B119" s="44" t="s">
        <v>728</v>
      </c>
      <c r="C119" s="45" t="s">
        <v>621</v>
      </c>
      <c r="D119" s="44" t="s">
        <v>561</v>
      </c>
      <c r="E119" s="44" t="s">
        <v>622</v>
      </c>
      <c r="F119" s="84"/>
      <c r="G119" s="46" t="s">
        <v>831</v>
      </c>
      <c r="H119" s="47">
        <v>492</v>
      </c>
      <c r="I119" s="47">
        <v>128.25</v>
      </c>
      <c r="J119" s="47">
        <v>154.79</v>
      </c>
      <c r="K119" s="47">
        <v>76156.679999999993</v>
      </c>
      <c r="L119" s="48">
        <v>1.4923984332982056E-2</v>
      </c>
    </row>
    <row r="120" spans="2:12" ht="25.5" x14ac:dyDescent="0.2">
      <c r="B120" s="44" t="s">
        <v>729</v>
      </c>
      <c r="C120" s="45" t="s">
        <v>624</v>
      </c>
      <c r="D120" s="44" t="s">
        <v>561</v>
      </c>
      <c r="E120" s="44" t="s">
        <v>625</v>
      </c>
      <c r="F120" s="84">
        <v>30</v>
      </c>
      <c r="G120" s="46" t="s">
        <v>832</v>
      </c>
      <c r="H120" s="47">
        <v>10920.33</v>
      </c>
      <c r="I120" s="47">
        <v>2.23</v>
      </c>
      <c r="J120" s="47">
        <v>2.69</v>
      </c>
      <c r="K120" s="47">
        <v>29375.68</v>
      </c>
      <c r="L120" s="48">
        <v>5.7565821946373493E-3</v>
      </c>
    </row>
    <row r="121" spans="2:12" ht="25.5" x14ac:dyDescent="0.2">
      <c r="B121" s="44" t="s">
        <v>730</v>
      </c>
      <c r="C121" s="45" t="s">
        <v>627</v>
      </c>
      <c r="D121" s="44" t="s">
        <v>561</v>
      </c>
      <c r="E121" s="44" t="s">
        <v>628</v>
      </c>
      <c r="F121" s="84">
        <f>DMT_TUBOS_GRAMAS-F120</f>
        <v>5.6000000000000014</v>
      </c>
      <c r="G121" s="46" t="s">
        <v>832</v>
      </c>
      <c r="H121" s="47">
        <v>2038.46</v>
      </c>
      <c r="I121" s="47">
        <v>0.88</v>
      </c>
      <c r="J121" s="47">
        <v>1.06</v>
      </c>
      <c r="K121" s="47">
        <v>2160.7600000000002</v>
      </c>
      <c r="L121" s="48">
        <v>4.2343164627625977E-4</v>
      </c>
    </row>
    <row r="122" spans="2:12" ht="51" x14ac:dyDescent="0.2">
      <c r="B122" s="44" t="s">
        <v>731</v>
      </c>
      <c r="C122" s="45" t="s">
        <v>630</v>
      </c>
      <c r="D122" s="44" t="s">
        <v>557</v>
      </c>
      <c r="E122" s="44" t="s">
        <v>631</v>
      </c>
      <c r="F122" s="84"/>
      <c r="G122" s="46" t="s">
        <v>829</v>
      </c>
      <c r="H122" s="47">
        <v>1</v>
      </c>
      <c r="I122" s="47">
        <v>5227.16</v>
      </c>
      <c r="J122" s="47">
        <v>6309.18</v>
      </c>
      <c r="K122" s="47">
        <v>6309.18</v>
      </c>
      <c r="L122" s="48">
        <v>1.2363735324854462E-3</v>
      </c>
    </row>
    <row r="123" spans="2:12" ht="51" x14ac:dyDescent="0.2">
      <c r="B123" s="44" t="s">
        <v>732</v>
      </c>
      <c r="C123" s="45" t="s">
        <v>633</v>
      </c>
      <c r="D123" s="44" t="s">
        <v>557</v>
      </c>
      <c r="E123" s="44" t="s">
        <v>634</v>
      </c>
      <c r="F123" s="84"/>
      <c r="G123" s="46" t="s">
        <v>829</v>
      </c>
      <c r="H123" s="47">
        <v>1</v>
      </c>
      <c r="I123" s="47">
        <v>7664.83</v>
      </c>
      <c r="J123" s="47">
        <v>9251.44</v>
      </c>
      <c r="K123" s="47">
        <v>9251.44</v>
      </c>
      <c r="L123" s="48">
        <v>1.8129512160656625E-3</v>
      </c>
    </row>
    <row r="124" spans="2:12" ht="38.25" x14ac:dyDescent="0.2">
      <c r="B124" s="44" t="s">
        <v>733</v>
      </c>
      <c r="C124" s="45" t="s">
        <v>734</v>
      </c>
      <c r="D124" s="44" t="s">
        <v>557</v>
      </c>
      <c r="E124" s="44" t="s">
        <v>735</v>
      </c>
      <c r="F124" s="84"/>
      <c r="G124" s="46" t="s">
        <v>829</v>
      </c>
      <c r="H124" s="47">
        <v>1</v>
      </c>
      <c r="I124" s="47">
        <v>10504.74</v>
      </c>
      <c r="J124" s="47">
        <v>12679.22</v>
      </c>
      <c r="K124" s="47">
        <v>12679.22</v>
      </c>
      <c r="L124" s="48">
        <v>2.4846734473513389E-3</v>
      </c>
    </row>
    <row r="125" spans="2:12" ht="25.5" x14ac:dyDescent="0.2">
      <c r="B125" s="44" t="s">
        <v>736</v>
      </c>
      <c r="C125" s="45" t="s">
        <v>636</v>
      </c>
      <c r="D125" s="44" t="s">
        <v>561</v>
      </c>
      <c r="E125" s="44" t="s">
        <v>637</v>
      </c>
      <c r="F125" s="84"/>
      <c r="G125" s="46" t="s">
        <v>831</v>
      </c>
      <c r="H125" s="47">
        <v>3</v>
      </c>
      <c r="I125" s="47">
        <v>885.33</v>
      </c>
      <c r="J125" s="47">
        <v>1068.5899999999999</v>
      </c>
      <c r="K125" s="47">
        <v>3205.77</v>
      </c>
      <c r="L125" s="48">
        <v>6.2821621498132388E-4</v>
      </c>
    </row>
    <row r="126" spans="2:12" ht="25.5" x14ac:dyDescent="0.2">
      <c r="B126" s="44" t="s">
        <v>737</v>
      </c>
      <c r="C126" s="45" t="s">
        <v>639</v>
      </c>
      <c r="D126" s="44" t="s">
        <v>561</v>
      </c>
      <c r="E126" s="44" t="s">
        <v>640</v>
      </c>
      <c r="F126" s="84"/>
      <c r="G126" s="46" t="s">
        <v>833</v>
      </c>
      <c r="H126" s="47">
        <v>3</v>
      </c>
      <c r="I126" s="47">
        <v>688.66</v>
      </c>
      <c r="J126" s="47">
        <v>831.21</v>
      </c>
      <c r="K126" s="47">
        <v>2493.63</v>
      </c>
      <c r="L126" s="48">
        <v>4.886622559210045E-4</v>
      </c>
    </row>
    <row r="127" spans="2:12" x14ac:dyDescent="0.2">
      <c r="B127" s="44" t="s">
        <v>738</v>
      </c>
      <c r="C127" s="45" t="s">
        <v>739</v>
      </c>
      <c r="D127" s="44" t="s">
        <v>557</v>
      </c>
      <c r="E127" s="44" t="s">
        <v>740</v>
      </c>
      <c r="F127" s="84"/>
      <c r="G127" s="46" t="s">
        <v>833</v>
      </c>
      <c r="H127" s="47">
        <v>7</v>
      </c>
      <c r="I127" s="47">
        <v>4104.1400000000003</v>
      </c>
      <c r="J127" s="47">
        <v>4953.6899999999996</v>
      </c>
      <c r="K127" s="47">
        <v>34675.83</v>
      </c>
      <c r="L127" s="48">
        <v>6.7952219510245089E-3</v>
      </c>
    </row>
    <row r="128" spans="2:12" ht="25.5" x14ac:dyDescent="0.2">
      <c r="B128" s="44" t="s">
        <v>741</v>
      </c>
      <c r="C128" s="45" t="s">
        <v>742</v>
      </c>
      <c r="D128" s="44" t="s">
        <v>561</v>
      </c>
      <c r="E128" s="44" t="s">
        <v>743</v>
      </c>
      <c r="F128" s="84"/>
      <c r="G128" s="46" t="s">
        <v>833</v>
      </c>
      <c r="H128" s="47">
        <v>1</v>
      </c>
      <c r="I128" s="47">
        <v>10746.61</v>
      </c>
      <c r="J128" s="47">
        <v>12971.15</v>
      </c>
      <c r="K128" s="47">
        <v>12971.15</v>
      </c>
      <c r="L128" s="48">
        <v>2.5418812818620794E-3</v>
      </c>
    </row>
    <row r="129" spans="2:12" x14ac:dyDescent="0.2">
      <c r="B129" s="44" t="s">
        <v>744</v>
      </c>
      <c r="C129" s="45" t="s">
        <v>745</v>
      </c>
      <c r="D129" s="44" t="s">
        <v>557</v>
      </c>
      <c r="E129" s="44" t="s">
        <v>746</v>
      </c>
      <c r="F129" s="84"/>
      <c r="G129" s="46" t="s">
        <v>833</v>
      </c>
      <c r="H129" s="47">
        <v>8</v>
      </c>
      <c r="I129" s="47">
        <v>93.7</v>
      </c>
      <c r="J129" s="47">
        <v>113.09</v>
      </c>
      <c r="K129" s="47">
        <v>904.72</v>
      </c>
      <c r="L129" s="48">
        <v>1.7729274839364749E-4</v>
      </c>
    </row>
    <row r="130" spans="2:12" x14ac:dyDescent="0.2">
      <c r="B130" s="44" t="s">
        <v>747</v>
      </c>
      <c r="C130" s="45" t="s">
        <v>748</v>
      </c>
      <c r="D130" s="44" t="s">
        <v>557</v>
      </c>
      <c r="E130" s="44" t="s">
        <v>749</v>
      </c>
      <c r="F130" s="84"/>
      <c r="G130" s="46" t="s">
        <v>831</v>
      </c>
      <c r="H130" s="47">
        <v>9.3000000000000007</v>
      </c>
      <c r="I130" s="47">
        <v>322.66000000000003</v>
      </c>
      <c r="J130" s="47">
        <v>389.45</v>
      </c>
      <c r="K130" s="47">
        <v>3621.88</v>
      </c>
      <c r="L130" s="48">
        <v>7.0975888623218671E-4</v>
      </c>
    </row>
    <row r="131" spans="2:12" x14ac:dyDescent="0.2">
      <c r="B131" s="44" t="s">
        <v>750</v>
      </c>
      <c r="C131" s="45" t="s">
        <v>751</v>
      </c>
      <c r="D131" s="44" t="s">
        <v>557</v>
      </c>
      <c r="E131" s="44" t="s">
        <v>752</v>
      </c>
      <c r="F131" s="84"/>
      <c r="G131" s="46" t="s">
        <v>833</v>
      </c>
      <c r="H131" s="47">
        <v>8</v>
      </c>
      <c r="I131" s="47">
        <v>878.81</v>
      </c>
      <c r="J131" s="47">
        <v>1060.72</v>
      </c>
      <c r="K131" s="47">
        <v>8485.76</v>
      </c>
      <c r="L131" s="48">
        <v>1.6629053327094328E-3</v>
      </c>
    </row>
    <row r="132" spans="2:12" ht="25.5" x14ac:dyDescent="0.2">
      <c r="B132" s="44" t="s">
        <v>753</v>
      </c>
      <c r="C132" s="45" t="s">
        <v>590</v>
      </c>
      <c r="D132" s="44" t="s">
        <v>561</v>
      </c>
      <c r="E132" s="44" t="s">
        <v>591</v>
      </c>
      <c r="F132" s="84">
        <f>DMT_BRITA</f>
        <v>12.2</v>
      </c>
      <c r="G132" s="46" t="s">
        <v>830</v>
      </c>
      <c r="H132" s="47">
        <v>230.01</v>
      </c>
      <c r="I132" s="47">
        <v>2.4700000000000002</v>
      </c>
      <c r="J132" s="47">
        <v>2.98</v>
      </c>
      <c r="K132" s="47">
        <v>685.42</v>
      </c>
      <c r="L132" s="48">
        <v>1.3431779512332421E-4</v>
      </c>
    </row>
    <row r="133" spans="2:12" ht="25.5" x14ac:dyDescent="0.2">
      <c r="B133" s="44" t="s">
        <v>754</v>
      </c>
      <c r="C133" s="45" t="s">
        <v>647</v>
      </c>
      <c r="D133" s="44" t="s">
        <v>561</v>
      </c>
      <c r="E133" s="44" t="s">
        <v>755</v>
      </c>
      <c r="F133" s="84"/>
      <c r="G133" s="46" t="s">
        <v>3</v>
      </c>
      <c r="H133" s="47">
        <v>9023.27</v>
      </c>
      <c r="I133" s="47">
        <v>2.17</v>
      </c>
      <c r="J133" s="47">
        <v>2.61</v>
      </c>
      <c r="K133" s="47">
        <v>23550.73</v>
      </c>
      <c r="L133" s="48">
        <v>4.6151004160145965E-3</v>
      </c>
    </row>
    <row r="134" spans="2:12" ht="38.25" x14ac:dyDescent="0.2">
      <c r="B134" s="44" t="s">
        <v>756</v>
      </c>
      <c r="C134" s="45" t="s">
        <v>587</v>
      </c>
      <c r="D134" s="44" t="s">
        <v>561</v>
      </c>
      <c r="E134" s="44" t="s">
        <v>757</v>
      </c>
      <c r="F134" s="84"/>
      <c r="G134" s="46" t="s">
        <v>3</v>
      </c>
      <c r="H134" s="47">
        <v>974.84</v>
      </c>
      <c r="I134" s="47">
        <v>6.28</v>
      </c>
      <c r="J134" s="47">
        <v>7.57</v>
      </c>
      <c r="K134" s="47">
        <v>7379.53</v>
      </c>
      <c r="L134" s="48">
        <v>1.446123834505011E-3</v>
      </c>
    </row>
    <row r="135" spans="2:12" ht="38.25" x14ac:dyDescent="0.2">
      <c r="B135" s="44" t="s">
        <v>758</v>
      </c>
      <c r="C135" s="45" t="s">
        <v>590</v>
      </c>
      <c r="D135" s="44" t="s">
        <v>561</v>
      </c>
      <c r="E135" s="44" t="s">
        <v>759</v>
      </c>
      <c r="F135" s="84">
        <f>DMT_BF</f>
        <v>12.2</v>
      </c>
      <c r="G135" s="46" t="s">
        <v>830</v>
      </c>
      <c r="H135" s="47">
        <v>11893.04</v>
      </c>
      <c r="I135" s="47">
        <v>2.4700000000000002</v>
      </c>
      <c r="J135" s="47">
        <v>2.98</v>
      </c>
      <c r="K135" s="47">
        <v>35441.25</v>
      </c>
      <c r="L135" s="48">
        <v>6.9452168836837466E-3</v>
      </c>
    </row>
    <row r="136" spans="2:12" ht="25.5" x14ac:dyDescent="0.2">
      <c r="B136" s="44" t="s">
        <v>760</v>
      </c>
      <c r="C136" s="45" t="s">
        <v>593</v>
      </c>
      <c r="D136" s="44" t="s">
        <v>561</v>
      </c>
      <c r="E136" s="44" t="s">
        <v>761</v>
      </c>
      <c r="F136" s="84"/>
      <c r="G136" s="46" t="s">
        <v>3</v>
      </c>
      <c r="H136" s="47">
        <v>960.73</v>
      </c>
      <c r="I136" s="47">
        <v>1.41</v>
      </c>
      <c r="J136" s="47">
        <v>1.7</v>
      </c>
      <c r="K136" s="47">
        <v>1633.24</v>
      </c>
      <c r="L136" s="48">
        <v>3.2005660136444515E-4</v>
      </c>
    </row>
    <row r="137" spans="2:12" ht="25.5" x14ac:dyDescent="0.2">
      <c r="B137" s="44" t="s">
        <v>762</v>
      </c>
      <c r="C137" s="45" t="s">
        <v>763</v>
      </c>
      <c r="D137" s="44" t="s">
        <v>557</v>
      </c>
      <c r="E137" s="44" t="s">
        <v>764</v>
      </c>
      <c r="F137" s="84"/>
      <c r="G137" s="46" t="s">
        <v>3</v>
      </c>
      <c r="H137" s="47">
        <v>0.36</v>
      </c>
      <c r="I137" s="47">
        <v>508.82</v>
      </c>
      <c r="J137" s="47">
        <v>614.14</v>
      </c>
      <c r="K137" s="47">
        <v>221.09</v>
      </c>
      <c r="L137" s="48">
        <v>4.332572922268937E-5</v>
      </c>
    </row>
    <row r="138" spans="2:12" ht="25.5" x14ac:dyDescent="0.2">
      <c r="B138" s="44" t="s">
        <v>765</v>
      </c>
      <c r="C138" s="45" t="s">
        <v>590</v>
      </c>
      <c r="D138" s="44" t="s">
        <v>561</v>
      </c>
      <c r="E138" s="44" t="s">
        <v>591</v>
      </c>
      <c r="F138" s="84">
        <f>DMT_BRITA</f>
        <v>12.2</v>
      </c>
      <c r="G138" s="46" t="s">
        <v>830</v>
      </c>
      <c r="H138" s="47">
        <v>4.3899999999999997</v>
      </c>
      <c r="I138" s="47">
        <v>2.4700000000000002</v>
      </c>
      <c r="J138" s="47">
        <v>2.98</v>
      </c>
      <c r="K138" s="47">
        <v>13.08</v>
      </c>
      <c r="L138" s="48">
        <v>2.5632119871218819E-6</v>
      </c>
    </row>
    <row r="139" spans="2:12" x14ac:dyDescent="0.2">
      <c r="B139" s="44" t="s">
        <v>1096</v>
      </c>
      <c r="C139" s="45" t="s">
        <v>1097</v>
      </c>
      <c r="D139" s="44" t="s">
        <v>561</v>
      </c>
      <c r="E139" s="44" t="s">
        <v>1098</v>
      </c>
      <c r="F139" s="84"/>
      <c r="G139" s="46" t="s">
        <v>2</v>
      </c>
      <c r="H139" s="47">
        <v>4158</v>
      </c>
      <c r="I139" s="47">
        <v>10.3</v>
      </c>
      <c r="J139" s="47">
        <v>12.43</v>
      </c>
      <c r="K139" s="47">
        <v>51683.94</v>
      </c>
      <c r="L139" s="48">
        <v>1.0128202947223863E-2</v>
      </c>
    </row>
    <row r="140" spans="2:12" ht="25.5" x14ac:dyDescent="0.2">
      <c r="B140" s="44" t="s">
        <v>1099</v>
      </c>
      <c r="C140" s="45" t="s">
        <v>624</v>
      </c>
      <c r="D140" s="44" t="s">
        <v>561</v>
      </c>
      <c r="E140" s="44" t="s">
        <v>625</v>
      </c>
      <c r="F140" s="84">
        <v>30</v>
      </c>
      <c r="G140" s="46" t="s">
        <v>832</v>
      </c>
      <c r="H140" s="47">
        <v>3742.2</v>
      </c>
      <c r="I140" s="47">
        <v>2.23</v>
      </c>
      <c r="J140" s="47">
        <v>2.69</v>
      </c>
      <c r="K140" s="47">
        <v>10066.51</v>
      </c>
      <c r="L140" s="48">
        <v>1.9726757722081266E-3</v>
      </c>
    </row>
    <row r="141" spans="2:12" ht="25.5" x14ac:dyDescent="0.2">
      <c r="B141" s="44" t="s">
        <v>1100</v>
      </c>
      <c r="C141" s="45" t="s">
        <v>627</v>
      </c>
      <c r="D141" s="44" t="s">
        <v>561</v>
      </c>
      <c r="E141" s="44" t="s">
        <v>628</v>
      </c>
      <c r="F141" s="84">
        <f>DMT_TUBOS_GRAMAS-F140</f>
        <v>5.6000000000000014</v>
      </c>
      <c r="G141" s="46" t="s">
        <v>832</v>
      </c>
      <c r="H141" s="47">
        <v>698.54</v>
      </c>
      <c r="I141" s="47">
        <v>0.88</v>
      </c>
      <c r="J141" s="47">
        <v>1.06</v>
      </c>
      <c r="K141" s="47">
        <v>740.45</v>
      </c>
      <c r="L141" s="48">
        <v>1.4510170610584081E-4</v>
      </c>
    </row>
    <row r="142" spans="2:12" x14ac:dyDescent="0.2">
      <c r="B142" s="43" t="s">
        <v>766</v>
      </c>
      <c r="C142" s="43"/>
      <c r="D142" s="43"/>
      <c r="E142" s="43" t="s">
        <v>645</v>
      </c>
      <c r="F142" s="156"/>
      <c r="G142" s="43"/>
      <c r="H142" s="41"/>
      <c r="I142" s="43"/>
      <c r="J142" s="43"/>
      <c r="K142" s="41">
        <v>1777047.3</v>
      </c>
      <c r="L142" s="42">
        <v>0.34823768662405008</v>
      </c>
    </row>
    <row r="143" spans="2:12" ht="25.5" x14ac:dyDescent="0.2">
      <c r="B143" s="44" t="s">
        <v>767</v>
      </c>
      <c r="C143" s="45" t="s">
        <v>647</v>
      </c>
      <c r="D143" s="44" t="s">
        <v>561</v>
      </c>
      <c r="E143" s="44" t="s">
        <v>768</v>
      </c>
      <c r="F143" s="84"/>
      <c r="G143" s="46" t="s">
        <v>3</v>
      </c>
      <c r="H143" s="47">
        <v>3005.5</v>
      </c>
      <c r="I143" s="47">
        <v>2.17</v>
      </c>
      <c r="J143" s="47">
        <v>2.61</v>
      </c>
      <c r="K143" s="47">
        <v>7844.35</v>
      </c>
      <c r="L143" s="48">
        <v>1.5372119228730533E-3</v>
      </c>
    </row>
    <row r="144" spans="2:12" ht="38.25" x14ac:dyDescent="0.2">
      <c r="B144" s="44" t="s">
        <v>769</v>
      </c>
      <c r="C144" s="45" t="s">
        <v>652</v>
      </c>
      <c r="D144" s="44" t="s">
        <v>561</v>
      </c>
      <c r="E144" s="44" t="s">
        <v>770</v>
      </c>
      <c r="F144" s="84"/>
      <c r="G144" s="46" t="s">
        <v>3</v>
      </c>
      <c r="H144" s="47">
        <v>227.59</v>
      </c>
      <c r="I144" s="47">
        <v>13.49</v>
      </c>
      <c r="J144" s="47">
        <v>16.28</v>
      </c>
      <c r="K144" s="47">
        <v>3705.16</v>
      </c>
      <c r="L144" s="48">
        <v>7.2607878640707283E-4</v>
      </c>
    </row>
    <row r="145" spans="2:12" ht="38.25" x14ac:dyDescent="0.2">
      <c r="B145" s="44" t="s">
        <v>771</v>
      </c>
      <c r="C145" s="45" t="s">
        <v>587</v>
      </c>
      <c r="D145" s="44" t="s">
        <v>561</v>
      </c>
      <c r="E145" s="44" t="s">
        <v>588</v>
      </c>
      <c r="F145" s="84"/>
      <c r="G145" s="46" t="s">
        <v>3</v>
      </c>
      <c r="H145" s="47">
        <v>3254.99</v>
      </c>
      <c r="I145" s="47">
        <v>6.28</v>
      </c>
      <c r="J145" s="47">
        <v>7.57</v>
      </c>
      <c r="K145" s="47">
        <v>24640.27</v>
      </c>
      <c r="L145" s="48">
        <v>4.8286112714005886E-3</v>
      </c>
    </row>
    <row r="146" spans="2:12" ht="25.5" x14ac:dyDescent="0.2">
      <c r="B146" s="44" t="s">
        <v>772</v>
      </c>
      <c r="C146" s="45" t="s">
        <v>590</v>
      </c>
      <c r="D146" s="44" t="s">
        <v>561</v>
      </c>
      <c r="E146" s="44" t="s">
        <v>591</v>
      </c>
      <c r="F146" s="84">
        <f>DMT_BF</f>
        <v>12.2</v>
      </c>
      <c r="G146" s="46" t="s">
        <v>830</v>
      </c>
      <c r="H146" s="47">
        <v>44890.61</v>
      </c>
      <c r="I146" s="47">
        <v>2.4700000000000002</v>
      </c>
      <c r="J146" s="47">
        <v>2.98</v>
      </c>
      <c r="K146" s="47">
        <v>133774.01</v>
      </c>
      <c r="L146" s="48">
        <v>2.6214919418758604E-2</v>
      </c>
    </row>
    <row r="147" spans="2:12" x14ac:dyDescent="0.2">
      <c r="B147" s="44" t="s">
        <v>773</v>
      </c>
      <c r="C147" s="45" t="s">
        <v>593</v>
      </c>
      <c r="D147" s="44" t="s">
        <v>561</v>
      </c>
      <c r="E147" s="44" t="s">
        <v>594</v>
      </c>
      <c r="F147" s="84"/>
      <c r="G147" s="46" t="s">
        <v>3</v>
      </c>
      <c r="H147" s="47">
        <v>3679.55</v>
      </c>
      <c r="I147" s="47">
        <v>1.41</v>
      </c>
      <c r="J147" s="47">
        <v>1.7</v>
      </c>
      <c r="K147" s="47">
        <v>6255.23</v>
      </c>
      <c r="L147" s="48">
        <v>1.2258012628596645E-3</v>
      </c>
    </row>
    <row r="148" spans="2:12" ht="38.25" x14ac:dyDescent="0.2">
      <c r="B148" s="44" t="s">
        <v>774</v>
      </c>
      <c r="C148" s="45" t="s">
        <v>652</v>
      </c>
      <c r="D148" s="44" t="s">
        <v>561</v>
      </c>
      <c r="E148" s="44" t="s">
        <v>770</v>
      </c>
      <c r="F148" s="84"/>
      <c r="G148" s="46" t="s">
        <v>3</v>
      </c>
      <c r="H148" s="47">
        <v>8161.75</v>
      </c>
      <c r="I148" s="47">
        <v>13.49</v>
      </c>
      <c r="J148" s="47">
        <v>16.28</v>
      </c>
      <c r="K148" s="47">
        <v>132873.29</v>
      </c>
      <c r="L148" s="48">
        <v>2.6038410527241752E-2</v>
      </c>
    </row>
    <row r="149" spans="2:12" ht="25.5" x14ac:dyDescent="0.2">
      <c r="B149" s="44" t="s">
        <v>775</v>
      </c>
      <c r="C149" s="45" t="s">
        <v>654</v>
      </c>
      <c r="D149" s="44" t="s">
        <v>561</v>
      </c>
      <c r="E149" s="44" t="s">
        <v>655</v>
      </c>
      <c r="F149" s="84"/>
      <c r="G149" s="46" t="s">
        <v>3</v>
      </c>
      <c r="H149" s="47">
        <v>6453.34</v>
      </c>
      <c r="I149" s="47">
        <v>8.7200000000000006</v>
      </c>
      <c r="J149" s="47">
        <v>10.52</v>
      </c>
      <c r="K149" s="47">
        <v>67889.13</v>
      </c>
      <c r="L149" s="48">
        <v>1.3303840352544019E-2</v>
      </c>
    </row>
    <row r="150" spans="2:12" ht="25.5" x14ac:dyDescent="0.2">
      <c r="B150" s="44" t="s">
        <v>776</v>
      </c>
      <c r="C150" s="45" t="s">
        <v>656</v>
      </c>
      <c r="D150" s="44" t="s">
        <v>561</v>
      </c>
      <c r="E150" s="44" t="s">
        <v>657</v>
      </c>
      <c r="F150" s="84"/>
      <c r="G150" s="46" t="s">
        <v>2</v>
      </c>
      <c r="H150" s="47">
        <v>6893.83</v>
      </c>
      <c r="I150" s="47">
        <v>1.23</v>
      </c>
      <c r="J150" s="47">
        <v>1.48</v>
      </c>
      <c r="K150" s="47">
        <v>10202.86</v>
      </c>
      <c r="L150" s="48">
        <v>1.9993954934958997E-3</v>
      </c>
    </row>
    <row r="151" spans="2:12" ht="25.5" x14ac:dyDescent="0.2">
      <c r="B151" s="44" t="s">
        <v>777</v>
      </c>
      <c r="C151" s="45" t="s">
        <v>1315</v>
      </c>
      <c r="D151" s="44" t="s">
        <v>561</v>
      </c>
      <c r="E151" s="44" t="s">
        <v>1316</v>
      </c>
      <c r="F151" s="84"/>
      <c r="G151" s="46" t="s">
        <v>3</v>
      </c>
      <c r="H151" s="47">
        <v>1189.18</v>
      </c>
      <c r="I151" s="47">
        <v>47.5</v>
      </c>
      <c r="J151" s="47">
        <v>54.75</v>
      </c>
      <c r="K151" s="47">
        <v>65107.6</v>
      </c>
      <c r="L151" s="48">
        <v>1.2758759997915646E-2</v>
      </c>
    </row>
    <row r="152" spans="2:12" ht="25.5" x14ac:dyDescent="0.2">
      <c r="B152" s="44" t="s">
        <v>778</v>
      </c>
      <c r="C152" s="45" t="s">
        <v>590</v>
      </c>
      <c r="D152" s="44" t="s">
        <v>561</v>
      </c>
      <c r="E152" s="44" t="s">
        <v>591</v>
      </c>
      <c r="F152" s="84">
        <v>30</v>
      </c>
      <c r="G152" s="46" t="s">
        <v>830</v>
      </c>
      <c r="H152" s="47">
        <v>40328.9</v>
      </c>
      <c r="I152" s="47">
        <v>2.4700000000000002</v>
      </c>
      <c r="J152" s="47">
        <v>2.98</v>
      </c>
      <c r="K152" s="47">
        <v>120180.12</v>
      </c>
      <c r="L152" s="48">
        <v>2.3551003379032587E-2</v>
      </c>
    </row>
    <row r="153" spans="2:12" ht="25.5" x14ac:dyDescent="0.2">
      <c r="B153" s="44" t="s">
        <v>779</v>
      </c>
      <c r="C153" s="45" t="s">
        <v>666</v>
      </c>
      <c r="D153" s="44" t="s">
        <v>561</v>
      </c>
      <c r="E153" s="44" t="s">
        <v>667</v>
      </c>
      <c r="F153" s="84">
        <f>DMT_JAZIDA-F152</f>
        <v>6.2999999999999972</v>
      </c>
      <c r="G153" s="46" t="s">
        <v>830</v>
      </c>
      <c r="H153" s="47">
        <v>8469.07</v>
      </c>
      <c r="I153" s="47">
        <v>0.97</v>
      </c>
      <c r="J153" s="47">
        <v>1.17</v>
      </c>
      <c r="K153" s="47">
        <v>9908.81</v>
      </c>
      <c r="L153" s="48">
        <v>1.9417722148404569E-3</v>
      </c>
    </row>
    <row r="154" spans="2:12" ht="38.25" x14ac:dyDescent="0.2">
      <c r="B154" s="44" t="s">
        <v>780</v>
      </c>
      <c r="C154" s="45" t="s">
        <v>781</v>
      </c>
      <c r="D154" s="44" t="s">
        <v>561</v>
      </c>
      <c r="E154" s="44" t="s">
        <v>782</v>
      </c>
      <c r="F154" s="84"/>
      <c r="G154" s="46" t="s">
        <v>3</v>
      </c>
      <c r="H154" s="47">
        <v>1034.07</v>
      </c>
      <c r="I154" s="47">
        <v>24.29</v>
      </c>
      <c r="J154" s="47">
        <v>29.31</v>
      </c>
      <c r="K154" s="47">
        <v>30308.59</v>
      </c>
      <c r="L154" s="48">
        <v>5.9393991743702142E-3</v>
      </c>
    </row>
    <row r="155" spans="2:12" ht="38.25" x14ac:dyDescent="0.2">
      <c r="B155" s="44" t="s">
        <v>783</v>
      </c>
      <c r="C155" s="45" t="s">
        <v>587</v>
      </c>
      <c r="D155" s="44" t="s">
        <v>561</v>
      </c>
      <c r="E155" s="44" t="s">
        <v>588</v>
      </c>
      <c r="F155" s="84"/>
      <c r="G155" s="46" t="s">
        <v>3</v>
      </c>
      <c r="H155" s="47">
        <v>1151.24</v>
      </c>
      <c r="I155" s="47">
        <v>6.28</v>
      </c>
      <c r="J155" s="47">
        <v>7.57</v>
      </c>
      <c r="K155" s="47">
        <v>8714.8799999999992</v>
      </c>
      <c r="L155" s="48">
        <v>1.7078046546122896E-3</v>
      </c>
    </row>
    <row r="156" spans="2:12" ht="25.5" x14ac:dyDescent="0.2">
      <c r="B156" s="44" t="s">
        <v>784</v>
      </c>
      <c r="C156" s="45" t="s">
        <v>590</v>
      </c>
      <c r="D156" s="44" t="s">
        <v>561</v>
      </c>
      <c r="E156" s="44" t="s">
        <v>591</v>
      </c>
      <c r="F156" s="84">
        <f>DMT_BRITA</f>
        <v>12.2</v>
      </c>
      <c r="G156" s="46" t="s">
        <v>830</v>
      </c>
      <c r="H156" s="47">
        <v>15877.18</v>
      </c>
      <c r="I156" s="47">
        <v>2.4700000000000002</v>
      </c>
      <c r="J156" s="47">
        <v>2.98</v>
      </c>
      <c r="K156" s="47">
        <v>47313.99</v>
      </c>
      <c r="L156" s="48">
        <v>9.2718491075355399E-3</v>
      </c>
    </row>
    <row r="157" spans="2:12" ht="25.5" x14ac:dyDescent="0.2">
      <c r="B157" s="44" t="s">
        <v>785</v>
      </c>
      <c r="C157" s="45" t="s">
        <v>660</v>
      </c>
      <c r="D157" s="44" t="s">
        <v>561</v>
      </c>
      <c r="E157" s="44" t="s">
        <v>661</v>
      </c>
      <c r="F157" s="84"/>
      <c r="G157" s="46" t="s">
        <v>3</v>
      </c>
      <c r="H157" s="47">
        <v>1001.08</v>
      </c>
      <c r="I157" s="47">
        <v>171.88</v>
      </c>
      <c r="J157" s="47">
        <v>207.45</v>
      </c>
      <c r="K157" s="47">
        <v>207674.04</v>
      </c>
      <c r="L157" s="48">
        <v>4.0696681096485415E-2</v>
      </c>
    </row>
    <row r="158" spans="2:12" x14ac:dyDescent="0.2">
      <c r="B158" s="44" t="s">
        <v>786</v>
      </c>
      <c r="C158" s="45" t="s">
        <v>1279</v>
      </c>
      <c r="D158" s="44" t="s">
        <v>557</v>
      </c>
      <c r="E158" s="44" t="s">
        <v>1280</v>
      </c>
      <c r="F158" s="84"/>
      <c r="G158" s="46" t="s">
        <v>2</v>
      </c>
      <c r="H158" s="47">
        <v>5904.48</v>
      </c>
      <c r="I158" s="47">
        <v>5.69</v>
      </c>
      <c r="J158" s="47">
        <v>6.86</v>
      </c>
      <c r="K158" s="47">
        <v>40504.730000000003</v>
      </c>
      <c r="L158" s="48">
        <v>7.9374777883130972E-3</v>
      </c>
    </row>
    <row r="159" spans="2:12" ht="38.25" x14ac:dyDescent="0.2">
      <c r="B159" s="44" t="s">
        <v>787</v>
      </c>
      <c r="C159" s="45" t="s">
        <v>662</v>
      </c>
      <c r="D159" s="44" t="s">
        <v>561</v>
      </c>
      <c r="E159" s="44" t="s">
        <v>663</v>
      </c>
      <c r="F159" s="84">
        <v>30</v>
      </c>
      <c r="G159" s="46" t="s">
        <v>832</v>
      </c>
      <c r="H159" s="47">
        <v>212.56</v>
      </c>
      <c r="I159" s="47">
        <v>1.45</v>
      </c>
      <c r="J159" s="47">
        <v>1.75</v>
      </c>
      <c r="K159" s="47">
        <v>371.98</v>
      </c>
      <c r="L159" s="48">
        <v>7.289477025761451E-5</v>
      </c>
    </row>
    <row r="160" spans="2:12" ht="38.25" x14ac:dyDescent="0.2">
      <c r="B160" s="44" t="s">
        <v>788</v>
      </c>
      <c r="C160" s="45" t="s">
        <v>664</v>
      </c>
      <c r="D160" s="44" t="s">
        <v>561</v>
      </c>
      <c r="E160" s="44" t="s">
        <v>665</v>
      </c>
      <c r="F160" s="84">
        <f>DMT_EAI-F159</f>
        <v>180</v>
      </c>
      <c r="G160" s="46" t="s">
        <v>832</v>
      </c>
      <c r="H160" s="47">
        <v>1275.3599999999999</v>
      </c>
      <c r="I160" s="47">
        <v>0.56000000000000005</v>
      </c>
      <c r="J160" s="47">
        <v>0.67</v>
      </c>
      <c r="K160" s="47">
        <v>854.49</v>
      </c>
      <c r="L160" s="48">
        <v>1.674494656632857E-4</v>
      </c>
    </row>
    <row r="161" spans="2:12" ht="25.5" x14ac:dyDescent="0.2">
      <c r="B161" s="44" t="s">
        <v>789</v>
      </c>
      <c r="C161" s="45" t="s">
        <v>1175</v>
      </c>
      <c r="D161" s="44" t="s">
        <v>561</v>
      </c>
      <c r="E161" s="44" t="s">
        <v>1176</v>
      </c>
      <c r="F161" s="84"/>
      <c r="G161" s="46" t="s">
        <v>211</v>
      </c>
      <c r="H161" s="47">
        <v>754.24</v>
      </c>
      <c r="I161" s="47">
        <v>599</v>
      </c>
      <c r="J161" s="47">
        <v>690.46</v>
      </c>
      <c r="K161" s="47">
        <v>520772.55</v>
      </c>
      <c r="L161" s="48">
        <v>0.10205278614098086</v>
      </c>
    </row>
    <row r="162" spans="2:12" ht="25.5" x14ac:dyDescent="0.2">
      <c r="B162" s="44" t="s">
        <v>790</v>
      </c>
      <c r="C162" s="45" t="s">
        <v>1178</v>
      </c>
      <c r="D162" s="44" t="s">
        <v>557</v>
      </c>
      <c r="E162" s="44" t="s">
        <v>1179</v>
      </c>
      <c r="F162" s="84"/>
      <c r="G162" s="46" t="s">
        <v>977</v>
      </c>
      <c r="H162" s="47">
        <v>754.24</v>
      </c>
      <c r="I162" s="47">
        <v>46.19</v>
      </c>
      <c r="J162" s="47">
        <v>55.75</v>
      </c>
      <c r="K162" s="47">
        <v>42048.88</v>
      </c>
      <c r="L162" s="48">
        <v>8.2400759373891103E-3</v>
      </c>
    </row>
    <row r="163" spans="2:12" ht="25.5" x14ac:dyDescent="0.2">
      <c r="B163" s="44" t="s">
        <v>791</v>
      </c>
      <c r="C163" s="45" t="s">
        <v>1181</v>
      </c>
      <c r="D163" s="44" t="s">
        <v>561</v>
      </c>
      <c r="E163" s="44" t="s">
        <v>1182</v>
      </c>
      <c r="F163" s="84">
        <v>30</v>
      </c>
      <c r="G163" s="46" t="s">
        <v>832</v>
      </c>
      <c r="H163" s="47">
        <v>22627.14</v>
      </c>
      <c r="I163" s="47">
        <v>1.66</v>
      </c>
      <c r="J163" s="47">
        <v>2</v>
      </c>
      <c r="K163" s="47">
        <v>45254.28</v>
      </c>
      <c r="L163" s="48">
        <v>8.86821964560933E-3</v>
      </c>
    </row>
    <row r="164" spans="2:12" ht="25.5" x14ac:dyDescent="0.2">
      <c r="B164" s="44" t="s">
        <v>792</v>
      </c>
      <c r="C164" s="45" t="s">
        <v>1184</v>
      </c>
      <c r="D164" s="44" t="s">
        <v>561</v>
      </c>
      <c r="E164" s="44" t="s">
        <v>1185</v>
      </c>
      <c r="F164" s="84">
        <f>DMT_CBUQ-F163</f>
        <v>18.399999999999999</v>
      </c>
      <c r="G164" s="46" t="s">
        <v>832</v>
      </c>
      <c r="H164" s="47">
        <v>13877.98</v>
      </c>
      <c r="I164" s="47">
        <v>0.66</v>
      </c>
      <c r="J164" s="47">
        <v>0.79</v>
      </c>
      <c r="K164" s="47">
        <v>10963.6</v>
      </c>
      <c r="L164" s="48">
        <v>2.1484733136092862E-3</v>
      </c>
    </row>
    <row r="165" spans="2:12" x14ac:dyDescent="0.2">
      <c r="B165" s="44" t="s">
        <v>795</v>
      </c>
      <c r="C165" s="45" t="s">
        <v>793</v>
      </c>
      <c r="D165" s="44" t="s">
        <v>557</v>
      </c>
      <c r="E165" s="44" t="s">
        <v>794</v>
      </c>
      <c r="F165" s="84"/>
      <c r="G165" s="46" t="s">
        <v>831</v>
      </c>
      <c r="H165" s="47">
        <v>1206.54</v>
      </c>
      <c r="I165" s="47">
        <v>91.36</v>
      </c>
      <c r="J165" s="47">
        <v>110.27</v>
      </c>
      <c r="K165" s="47">
        <v>133045.16</v>
      </c>
      <c r="L165" s="48">
        <v>2.6072090897595469E-2</v>
      </c>
    </row>
    <row r="166" spans="2:12" x14ac:dyDescent="0.2">
      <c r="B166" s="44" t="s">
        <v>796</v>
      </c>
      <c r="C166" s="45" t="s">
        <v>669</v>
      </c>
      <c r="D166" s="44" t="s">
        <v>557</v>
      </c>
      <c r="E166" s="44" t="s">
        <v>670</v>
      </c>
      <c r="F166" s="84"/>
      <c r="G166" s="46" t="s">
        <v>4</v>
      </c>
      <c r="H166" s="47">
        <v>488.05</v>
      </c>
      <c r="I166" s="47">
        <v>44.33</v>
      </c>
      <c r="J166" s="47">
        <v>53.5</v>
      </c>
      <c r="K166" s="47">
        <v>26110.67</v>
      </c>
      <c r="L166" s="48">
        <v>5.1167570593106818E-3</v>
      </c>
    </row>
    <row r="167" spans="2:12" ht="25.5" x14ac:dyDescent="0.2">
      <c r="B167" s="44" t="s">
        <v>797</v>
      </c>
      <c r="C167" s="45" t="s">
        <v>590</v>
      </c>
      <c r="D167" s="44" t="s">
        <v>561</v>
      </c>
      <c r="E167" s="44" t="s">
        <v>591</v>
      </c>
      <c r="F167" s="84">
        <f>DMT_BRITA</f>
        <v>12.2</v>
      </c>
      <c r="G167" s="46" t="s">
        <v>830</v>
      </c>
      <c r="H167" s="47">
        <v>1009.55</v>
      </c>
      <c r="I167" s="47">
        <v>2.4700000000000002</v>
      </c>
      <c r="J167" s="47">
        <v>2.98</v>
      </c>
      <c r="K167" s="47">
        <v>3008.45</v>
      </c>
      <c r="L167" s="48">
        <v>5.8954855524899279E-4</v>
      </c>
    </row>
    <row r="168" spans="2:12" ht="25.5" x14ac:dyDescent="0.2">
      <c r="B168" s="44" t="s">
        <v>800</v>
      </c>
      <c r="C168" s="45" t="s">
        <v>798</v>
      </c>
      <c r="D168" s="44" t="s">
        <v>557</v>
      </c>
      <c r="E168" s="44" t="s">
        <v>799</v>
      </c>
      <c r="F168" s="84"/>
      <c r="G168" s="46" t="s">
        <v>3</v>
      </c>
      <c r="H168" s="47">
        <v>2.52</v>
      </c>
      <c r="I168" s="47">
        <v>294.08999999999997</v>
      </c>
      <c r="J168" s="47">
        <v>354.96</v>
      </c>
      <c r="K168" s="47">
        <v>894.49</v>
      </c>
      <c r="L168" s="48">
        <v>1.7528803443124253E-4</v>
      </c>
    </row>
    <row r="169" spans="2:12" ht="25.5" x14ac:dyDescent="0.2">
      <c r="B169" s="44" t="s">
        <v>803</v>
      </c>
      <c r="C169" s="45" t="s">
        <v>801</v>
      </c>
      <c r="D169" s="44" t="s">
        <v>561</v>
      </c>
      <c r="E169" s="44" t="s">
        <v>802</v>
      </c>
      <c r="F169" s="84"/>
      <c r="G169" s="46" t="s">
        <v>2</v>
      </c>
      <c r="H169" s="47">
        <v>2689.43</v>
      </c>
      <c r="I169" s="47">
        <v>21.09</v>
      </c>
      <c r="J169" s="47">
        <v>25.45</v>
      </c>
      <c r="K169" s="47">
        <v>68445.990000000005</v>
      </c>
      <c r="L169" s="48">
        <v>1.341296498764713E-2</v>
      </c>
    </row>
    <row r="170" spans="2:12" ht="38.25" x14ac:dyDescent="0.2">
      <c r="B170" s="44" t="s">
        <v>806</v>
      </c>
      <c r="C170" s="45" t="s">
        <v>804</v>
      </c>
      <c r="D170" s="44" t="s">
        <v>561</v>
      </c>
      <c r="E170" s="44" t="s">
        <v>805</v>
      </c>
      <c r="F170" s="84"/>
      <c r="G170" s="46" t="s">
        <v>3</v>
      </c>
      <c r="H170" s="47">
        <v>178.08</v>
      </c>
      <c r="I170" s="47">
        <v>8.8699999999999992</v>
      </c>
      <c r="J170" s="47">
        <v>10.7</v>
      </c>
      <c r="K170" s="47">
        <v>1905.45</v>
      </c>
      <c r="L170" s="48">
        <v>3.7340002147258334E-4</v>
      </c>
    </row>
    <row r="171" spans="2:12" ht="25.5" x14ac:dyDescent="0.2">
      <c r="B171" s="44" t="s">
        <v>1210</v>
      </c>
      <c r="C171" s="45" t="s">
        <v>590</v>
      </c>
      <c r="D171" s="44" t="s">
        <v>561</v>
      </c>
      <c r="E171" s="44" t="s">
        <v>591</v>
      </c>
      <c r="F171" s="84">
        <f>DMT_BF</f>
        <v>12.2</v>
      </c>
      <c r="G171" s="46" t="s">
        <v>830</v>
      </c>
      <c r="H171" s="47">
        <v>2172.5700000000002</v>
      </c>
      <c r="I171" s="47">
        <v>2.4700000000000002</v>
      </c>
      <c r="J171" s="47">
        <v>2.98</v>
      </c>
      <c r="K171" s="47">
        <v>6474.25</v>
      </c>
      <c r="L171" s="48">
        <v>1.2687213461486119E-3</v>
      </c>
    </row>
    <row r="172" spans="2:12" x14ac:dyDescent="0.2">
      <c r="B172" s="43" t="s">
        <v>807</v>
      </c>
      <c r="C172" s="43"/>
      <c r="D172" s="43"/>
      <c r="E172" s="43" t="s">
        <v>808</v>
      </c>
      <c r="F172" s="156"/>
      <c r="G172" s="43"/>
      <c r="H172" s="41"/>
      <c r="I172" s="43"/>
      <c r="J172" s="43"/>
      <c r="K172" s="41">
        <v>36290.120000000003</v>
      </c>
      <c r="L172" s="42">
        <v>7.1115650304351347E-3</v>
      </c>
    </row>
    <row r="173" spans="2:12" ht="38.25" x14ac:dyDescent="0.2">
      <c r="B173" s="44" t="s">
        <v>809</v>
      </c>
      <c r="C173" s="45" t="s">
        <v>692</v>
      </c>
      <c r="D173" s="44" t="s">
        <v>561</v>
      </c>
      <c r="E173" s="44" t="s">
        <v>693</v>
      </c>
      <c r="F173" s="84"/>
      <c r="G173" s="46" t="s">
        <v>831</v>
      </c>
      <c r="H173" s="47">
        <v>1316.45</v>
      </c>
      <c r="I173" s="47">
        <v>5.38</v>
      </c>
      <c r="J173" s="47">
        <v>6.49</v>
      </c>
      <c r="K173" s="47">
        <v>8543.76</v>
      </c>
      <c r="L173" s="48">
        <v>1.6742712574229703E-3</v>
      </c>
    </row>
    <row r="174" spans="2:12" ht="38.25" x14ac:dyDescent="0.2">
      <c r="B174" s="44" t="s">
        <v>810</v>
      </c>
      <c r="C174" s="45" t="s">
        <v>695</v>
      </c>
      <c r="D174" s="44" t="s">
        <v>561</v>
      </c>
      <c r="E174" s="44" t="s">
        <v>696</v>
      </c>
      <c r="F174" s="84"/>
      <c r="G174" s="46" t="s">
        <v>2</v>
      </c>
      <c r="H174" s="47">
        <v>159.72</v>
      </c>
      <c r="I174" s="47">
        <v>23.66</v>
      </c>
      <c r="J174" s="47">
        <v>28.55</v>
      </c>
      <c r="K174" s="47">
        <v>4560</v>
      </c>
      <c r="L174" s="48">
        <v>8.9359683954707821E-4</v>
      </c>
    </row>
    <row r="175" spans="2:12" ht="25.5" x14ac:dyDescent="0.2">
      <c r="B175" s="44" t="s">
        <v>811</v>
      </c>
      <c r="C175" s="45" t="s">
        <v>698</v>
      </c>
      <c r="D175" s="44" t="s">
        <v>561</v>
      </c>
      <c r="E175" s="44" t="s">
        <v>699</v>
      </c>
      <c r="F175" s="84"/>
      <c r="G175" s="46" t="s">
        <v>2</v>
      </c>
      <c r="H175" s="47">
        <v>25.2</v>
      </c>
      <c r="I175" s="47">
        <v>45.8</v>
      </c>
      <c r="J175" s="47">
        <v>55.28</v>
      </c>
      <c r="K175" s="47">
        <v>1393.05</v>
      </c>
      <c r="L175" s="48">
        <v>2.7298795555505639E-4</v>
      </c>
    </row>
    <row r="176" spans="2:12" ht="38.25" x14ac:dyDescent="0.2">
      <c r="B176" s="44" t="s">
        <v>812</v>
      </c>
      <c r="C176" s="45" t="s">
        <v>701</v>
      </c>
      <c r="D176" s="44" t="s">
        <v>557</v>
      </c>
      <c r="E176" s="44" t="s">
        <v>702</v>
      </c>
      <c r="F176" s="84"/>
      <c r="G176" s="46" t="s">
        <v>833</v>
      </c>
      <c r="H176" s="47">
        <v>12</v>
      </c>
      <c r="I176" s="47">
        <v>495.59</v>
      </c>
      <c r="J176" s="47">
        <v>598.16999999999996</v>
      </c>
      <c r="K176" s="47">
        <v>7178.04</v>
      </c>
      <c r="L176" s="48">
        <v>1.4066390039786205E-3</v>
      </c>
    </row>
    <row r="177" spans="2:12" ht="38.25" x14ac:dyDescent="0.2">
      <c r="B177" s="44" t="s">
        <v>813</v>
      </c>
      <c r="C177" s="45" t="s">
        <v>814</v>
      </c>
      <c r="D177" s="44" t="s">
        <v>557</v>
      </c>
      <c r="E177" s="44" t="s">
        <v>815</v>
      </c>
      <c r="F177" s="84"/>
      <c r="G177" s="46" t="s">
        <v>2</v>
      </c>
      <c r="H177" s="47">
        <v>4</v>
      </c>
      <c r="I177" s="47">
        <v>1335.87</v>
      </c>
      <c r="J177" s="47">
        <v>1612.39</v>
      </c>
      <c r="K177" s="47">
        <v>6449.56</v>
      </c>
      <c r="L177" s="48">
        <v>1.2638829895765906E-3</v>
      </c>
    </row>
    <row r="178" spans="2:12" x14ac:dyDescent="0.2">
      <c r="B178" s="44" t="s">
        <v>1101</v>
      </c>
      <c r="C178" s="45" t="s">
        <v>1102</v>
      </c>
      <c r="D178" s="44" t="s">
        <v>557</v>
      </c>
      <c r="E178" s="44" t="s">
        <v>1103</v>
      </c>
      <c r="F178" s="84"/>
      <c r="G178" s="46" t="s">
        <v>4</v>
      </c>
      <c r="H178" s="47">
        <v>497</v>
      </c>
      <c r="I178" s="47">
        <v>13.62</v>
      </c>
      <c r="J178" s="47">
        <v>16.43</v>
      </c>
      <c r="K178" s="47">
        <v>8165.71</v>
      </c>
      <c r="L178" s="48">
        <v>1.6001869843548183E-3</v>
      </c>
    </row>
    <row r="179" spans="2:12" ht="18.75" customHeight="1" x14ac:dyDescent="0.2">
      <c r="B179" s="43" t="s">
        <v>275</v>
      </c>
      <c r="C179" s="43"/>
      <c r="D179" s="43"/>
      <c r="E179" s="43" t="s">
        <v>554</v>
      </c>
      <c r="F179" s="156"/>
      <c r="G179" s="43"/>
      <c r="H179" s="41"/>
      <c r="I179" s="43"/>
      <c r="J179" s="43"/>
      <c r="K179" s="41">
        <v>243220</v>
      </c>
      <c r="L179" s="42">
        <v>4.7662417393561481E-2</v>
      </c>
    </row>
    <row r="180" spans="2:12" ht="18.75" customHeight="1" x14ac:dyDescent="0.2">
      <c r="B180" s="44" t="s">
        <v>816</v>
      </c>
      <c r="C180" s="45" t="s">
        <v>1304</v>
      </c>
      <c r="D180" s="44" t="s">
        <v>561</v>
      </c>
      <c r="E180" s="44" t="s">
        <v>817</v>
      </c>
      <c r="F180" s="84"/>
      <c r="G180" s="46" t="s">
        <v>834</v>
      </c>
      <c r="H180" s="47">
        <v>690</v>
      </c>
      <c r="I180" s="47">
        <v>109.36</v>
      </c>
      <c r="J180" s="47">
        <v>131.99</v>
      </c>
      <c r="K180" s="47">
        <v>91073.1</v>
      </c>
      <c r="L180" s="48">
        <v>1.7847068931525219E-2</v>
      </c>
    </row>
    <row r="181" spans="2:12" ht="18.75" customHeight="1" x14ac:dyDescent="0.2">
      <c r="B181" s="44" t="s">
        <v>818</v>
      </c>
      <c r="C181" s="45" t="s">
        <v>1305</v>
      </c>
      <c r="D181" s="44" t="s">
        <v>561</v>
      </c>
      <c r="E181" s="44" t="s">
        <v>819</v>
      </c>
      <c r="F181" s="84"/>
      <c r="G181" s="46" t="s">
        <v>834</v>
      </c>
      <c r="H181" s="47">
        <v>900</v>
      </c>
      <c r="I181" s="47">
        <v>35.07</v>
      </c>
      <c r="J181" s="47">
        <v>42.32</v>
      </c>
      <c r="K181" s="47">
        <v>38088</v>
      </c>
      <c r="L181" s="48">
        <v>7.4638851808484898E-3</v>
      </c>
    </row>
    <row r="182" spans="2:12" ht="18.75" customHeight="1" x14ac:dyDescent="0.2">
      <c r="B182" s="44" t="s">
        <v>820</v>
      </c>
      <c r="C182" s="45" t="s">
        <v>1318</v>
      </c>
      <c r="D182" s="44" t="s">
        <v>561</v>
      </c>
      <c r="E182" s="44" t="s">
        <v>1319</v>
      </c>
      <c r="F182" s="84"/>
      <c r="G182" s="46" t="s">
        <v>834</v>
      </c>
      <c r="H182" s="47">
        <v>1350</v>
      </c>
      <c r="I182" s="47">
        <v>19.88</v>
      </c>
      <c r="J182" s="47">
        <v>23.99</v>
      </c>
      <c r="K182" s="47">
        <v>32386.5</v>
      </c>
      <c r="L182" s="48">
        <v>6.3465951850858434E-3</v>
      </c>
    </row>
    <row r="183" spans="2:12" ht="18.75" customHeight="1" x14ac:dyDescent="0.2">
      <c r="B183" s="44" t="s">
        <v>821</v>
      </c>
      <c r="C183" s="45" t="s">
        <v>1306</v>
      </c>
      <c r="D183" s="44" t="s">
        <v>561</v>
      </c>
      <c r="E183" s="44" t="s">
        <v>822</v>
      </c>
      <c r="F183" s="84"/>
      <c r="G183" s="46" t="s">
        <v>834</v>
      </c>
      <c r="H183" s="47">
        <v>730</v>
      </c>
      <c r="I183" s="47">
        <v>24.53</v>
      </c>
      <c r="J183" s="47">
        <v>29.6</v>
      </c>
      <c r="K183" s="47">
        <v>21608</v>
      </c>
      <c r="L183" s="48">
        <v>4.2343948484502777E-3</v>
      </c>
    </row>
    <row r="184" spans="2:12" ht="18.75" customHeight="1" x14ac:dyDescent="0.2">
      <c r="B184" s="44" t="s">
        <v>823</v>
      </c>
      <c r="C184" s="45" t="s">
        <v>1307</v>
      </c>
      <c r="D184" s="44" t="s">
        <v>561</v>
      </c>
      <c r="E184" s="44" t="s">
        <v>824</v>
      </c>
      <c r="F184" s="84"/>
      <c r="G184" s="46" t="s">
        <v>834</v>
      </c>
      <c r="H184" s="47">
        <v>730</v>
      </c>
      <c r="I184" s="47">
        <v>12.21</v>
      </c>
      <c r="J184" s="47">
        <v>14.73</v>
      </c>
      <c r="K184" s="47">
        <v>10752.9</v>
      </c>
      <c r="L184" s="48">
        <v>2.107183652624074E-3</v>
      </c>
    </row>
    <row r="185" spans="2:12" ht="18.75" customHeight="1" x14ac:dyDescent="0.2">
      <c r="B185" s="44" t="s">
        <v>825</v>
      </c>
      <c r="C185" s="45" t="s">
        <v>1308</v>
      </c>
      <c r="D185" s="44" t="s">
        <v>561</v>
      </c>
      <c r="E185" s="44" t="s">
        <v>826</v>
      </c>
      <c r="F185" s="84"/>
      <c r="G185" s="46" t="s">
        <v>834</v>
      </c>
      <c r="H185" s="47">
        <v>730</v>
      </c>
      <c r="I185" s="47">
        <v>30.38</v>
      </c>
      <c r="J185" s="47">
        <v>36.659999999999997</v>
      </c>
      <c r="K185" s="47">
        <v>26761.8</v>
      </c>
      <c r="L185" s="48">
        <v>5.2443552413576743E-3</v>
      </c>
    </row>
    <row r="186" spans="2:12" ht="18.75" customHeight="1" x14ac:dyDescent="0.2">
      <c r="B186" s="44" t="s">
        <v>827</v>
      </c>
      <c r="C186" s="45" t="s">
        <v>1309</v>
      </c>
      <c r="D186" s="44" t="s">
        <v>561</v>
      </c>
      <c r="E186" s="44" t="s">
        <v>828</v>
      </c>
      <c r="F186" s="84"/>
      <c r="G186" s="46" t="s">
        <v>834</v>
      </c>
      <c r="H186" s="47">
        <v>730</v>
      </c>
      <c r="I186" s="47">
        <v>25.6</v>
      </c>
      <c r="J186" s="47">
        <v>30.89</v>
      </c>
      <c r="K186" s="47">
        <v>22549.7</v>
      </c>
      <c r="L186" s="48">
        <v>4.4189343536699009E-3</v>
      </c>
    </row>
    <row r="187" spans="2:12" ht="9.75" customHeight="1" x14ac:dyDescent="0.2">
      <c r="B187" s="496"/>
      <c r="C187" s="496"/>
      <c r="D187" s="496"/>
      <c r="E187" s="496"/>
      <c r="F187" s="536"/>
      <c r="G187" s="496"/>
      <c r="H187" s="496"/>
      <c r="I187" s="496"/>
      <c r="J187" s="496"/>
      <c r="K187" s="496"/>
      <c r="L187" s="496"/>
    </row>
    <row r="188" spans="2:12" s="72" customFormat="1" ht="20.100000000000001" customHeight="1" x14ac:dyDescent="0.25">
      <c r="B188" s="578"/>
      <c r="C188" s="578"/>
      <c r="D188" s="578"/>
      <c r="E188" s="73"/>
      <c r="F188" s="538"/>
      <c r="G188" s="484"/>
      <c r="H188" s="571" t="s">
        <v>124</v>
      </c>
      <c r="I188" s="578"/>
      <c r="J188" s="579">
        <v>4297645.88</v>
      </c>
      <c r="K188" s="579"/>
      <c r="L188" s="579"/>
    </row>
    <row r="189" spans="2:12" s="72" customFormat="1" ht="20.100000000000001" customHeight="1" x14ac:dyDescent="0.25">
      <c r="B189" s="578"/>
      <c r="C189" s="578"/>
      <c r="D189" s="578"/>
      <c r="E189" s="73"/>
      <c r="F189" s="538"/>
      <c r="G189" s="484"/>
      <c r="H189" s="571" t="s">
        <v>125</v>
      </c>
      <c r="I189" s="578"/>
      <c r="J189" s="579">
        <v>805326.51</v>
      </c>
      <c r="K189" s="579"/>
      <c r="L189" s="579"/>
    </row>
    <row r="190" spans="2:12" s="72" customFormat="1" ht="20.100000000000001" customHeight="1" x14ac:dyDescent="0.25">
      <c r="B190" s="578"/>
      <c r="C190" s="578"/>
      <c r="D190" s="578"/>
      <c r="E190" s="73"/>
      <c r="F190" s="538"/>
      <c r="G190" s="484"/>
      <c r="H190" s="571" t="s">
        <v>126</v>
      </c>
      <c r="I190" s="578"/>
      <c r="J190" s="579">
        <v>5102972.3899999997</v>
      </c>
      <c r="K190" s="579"/>
      <c r="L190" s="579"/>
    </row>
    <row r="191" spans="2:12" ht="50.25" customHeight="1" x14ac:dyDescent="0.2">
      <c r="B191" s="580" t="s">
        <v>277</v>
      </c>
      <c r="C191" s="581"/>
      <c r="D191" s="581"/>
      <c r="E191" s="581"/>
      <c r="F191" s="581"/>
      <c r="G191" s="581"/>
      <c r="H191" s="581"/>
      <c r="I191" s="581"/>
      <c r="J191" s="581"/>
      <c r="K191" s="581"/>
      <c r="L191" s="581"/>
    </row>
  </sheetData>
  <mergeCells count="17">
    <mergeCell ref="B4:L4"/>
    <mergeCell ref="G2:H2"/>
    <mergeCell ref="I2:J2"/>
    <mergeCell ref="K2:L2"/>
    <mergeCell ref="G3:H3"/>
    <mergeCell ref="I3:J3"/>
    <mergeCell ref="K3:L3"/>
    <mergeCell ref="B190:D190"/>
    <mergeCell ref="H190:I190"/>
    <mergeCell ref="J190:L190"/>
    <mergeCell ref="B191:L191"/>
    <mergeCell ref="B188:D188"/>
    <mergeCell ref="H188:I188"/>
    <mergeCell ref="J188:L188"/>
    <mergeCell ref="B189:D189"/>
    <mergeCell ref="H189:I189"/>
    <mergeCell ref="J189:L189"/>
  </mergeCells>
  <printOptions horizontalCentered="1"/>
  <pageMargins left="0.51181102362204722" right="0.51181102362204722" top="0.98425196850393704" bottom="0.59055118110236227" header="0.31496062992125984" footer="0.39370078740157483"/>
  <pageSetup paperSize="9" scale="61" fitToHeight="7" orientation="landscape" r:id="rId1"/>
  <headerFooter>
    <oddHeader>&amp;L&amp;G&amp;R&amp;G</oddHeader>
    <oddFooter>&amp;C&amp;"-,Regular"&amp;K01+049&amp;P de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B2:L509"/>
  <sheetViews>
    <sheetView showGridLines="0" showOutlineSymbols="0" showWhiteSpace="0" view="pageBreakPreview" topLeftCell="A482" zoomScale="77" zoomScaleNormal="85" zoomScaleSheetLayoutView="77" workbookViewId="0">
      <selection activeCell="W514" sqref="W514"/>
    </sheetView>
  </sheetViews>
  <sheetFormatPr defaultRowHeight="15" x14ac:dyDescent="0.25"/>
  <cols>
    <col min="1" max="1" width="9.33203125" style="72"/>
    <col min="2" max="2" width="13.33203125" style="72" bestFit="1" customWidth="1"/>
    <col min="3" max="3" width="16" style="72" bestFit="1" customWidth="1"/>
    <col min="4" max="4" width="13.33203125" style="72" bestFit="1" customWidth="1"/>
    <col min="5" max="5" width="80" style="72" bestFit="1" customWidth="1"/>
    <col min="6" max="6" width="20" style="72" bestFit="1" customWidth="1"/>
    <col min="7" max="10" width="16" style="72" bestFit="1" customWidth="1"/>
    <col min="11" max="12" width="18.6640625" style="72" bestFit="1" customWidth="1"/>
    <col min="13" max="16384" width="9.33203125" style="72"/>
  </cols>
  <sheetData>
    <row r="2" spans="2:11" x14ac:dyDescent="0.25">
      <c r="B2" s="571" t="s">
        <v>127</v>
      </c>
      <c r="C2" s="571"/>
      <c r="F2" s="571" t="s">
        <v>112</v>
      </c>
      <c r="G2" s="571"/>
      <c r="H2" s="571" t="s">
        <v>113</v>
      </c>
      <c r="I2" s="571"/>
      <c r="J2" s="571" t="s">
        <v>114</v>
      </c>
      <c r="K2" s="571"/>
    </row>
    <row r="3" spans="2:11" x14ac:dyDescent="0.25">
      <c r="B3" s="541" t="s">
        <v>551</v>
      </c>
      <c r="C3" s="541"/>
      <c r="F3" s="571" t="str">
        <f>'RESUMO ND'!D3</f>
        <v>SINAPI - 12/2023 - MS</v>
      </c>
      <c r="G3" s="571"/>
      <c r="H3" s="571" t="s">
        <v>1151</v>
      </c>
      <c r="I3" s="571"/>
      <c r="J3" s="571" t="s">
        <v>276</v>
      </c>
      <c r="K3" s="571"/>
    </row>
    <row r="4" spans="2:11" x14ac:dyDescent="0.25">
      <c r="B4" s="582" t="s">
        <v>127</v>
      </c>
      <c r="C4" s="590"/>
      <c r="D4" s="590"/>
      <c r="E4" s="590"/>
      <c r="F4" s="590"/>
      <c r="G4" s="590"/>
      <c r="H4" s="590"/>
      <c r="I4" s="590"/>
      <c r="J4" s="590"/>
      <c r="K4" s="590"/>
    </row>
    <row r="5" spans="2:11" x14ac:dyDescent="0.25">
      <c r="B5" s="582" t="s">
        <v>128</v>
      </c>
      <c r="C5" s="590"/>
      <c r="D5" s="590"/>
      <c r="E5" s="590"/>
      <c r="F5" s="590"/>
      <c r="G5" s="590"/>
      <c r="H5" s="590"/>
      <c r="I5" s="590"/>
      <c r="J5" s="590"/>
      <c r="K5" s="590"/>
    </row>
    <row r="6" spans="2:11" x14ac:dyDescent="0.25">
      <c r="B6" s="497"/>
      <c r="C6" s="51" t="s">
        <v>116</v>
      </c>
      <c r="D6" s="497" t="s">
        <v>117</v>
      </c>
      <c r="E6" s="497" t="s">
        <v>118</v>
      </c>
      <c r="F6" s="591" t="s">
        <v>105</v>
      </c>
      <c r="G6" s="591"/>
      <c r="H6" s="52" t="s">
        <v>119</v>
      </c>
      <c r="I6" s="51" t="s">
        <v>120</v>
      </c>
      <c r="J6" s="51" t="s">
        <v>121</v>
      </c>
      <c r="K6" s="51" t="s">
        <v>0</v>
      </c>
    </row>
    <row r="7" spans="2:11" x14ac:dyDescent="0.25">
      <c r="B7" s="555" t="s">
        <v>555</v>
      </c>
      <c r="C7" s="556" t="s">
        <v>116</v>
      </c>
      <c r="D7" s="555" t="s">
        <v>117</v>
      </c>
      <c r="E7" s="555" t="s">
        <v>118</v>
      </c>
      <c r="F7" s="584" t="s">
        <v>105</v>
      </c>
      <c r="G7" s="584"/>
      <c r="H7" s="557" t="s">
        <v>119</v>
      </c>
      <c r="I7" s="556" t="s">
        <v>120</v>
      </c>
      <c r="J7" s="556" t="s">
        <v>121</v>
      </c>
      <c r="K7" s="556" t="s">
        <v>0</v>
      </c>
    </row>
    <row r="8" spans="2:11" ht="30" x14ac:dyDescent="0.25">
      <c r="B8" s="549" t="s">
        <v>835</v>
      </c>
      <c r="C8" s="550" t="s">
        <v>556</v>
      </c>
      <c r="D8" s="549" t="s">
        <v>557</v>
      </c>
      <c r="E8" s="549" t="s">
        <v>558</v>
      </c>
      <c r="F8" s="585" t="s">
        <v>836</v>
      </c>
      <c r="G8" s="585"/>
      <c r="H8" s="551" t="s">
        <v>2</v>
      </c>
      <c r="I8" s="552">
        <v>1</v>
      </c>
      <c r="J8" s="553">
        <v>359.98</v>
      </c>
      <c r="K8" s="553">
        <v>359.98</v>
      </c>
    </row>
    <row r="9" spans="2:11" ht="30" x14ac:dyDescent="0.25">
      <c r="B9" s="558" t="s">
        <v>837</v>
      </c>
      <c r="C9" s="559" t="s">
        <v>838</v>
      </c>
      <c r="D9" s="558" t="s">
        <v>561</v>
      </c>
      <c r="E9" s="558" t="s">
        <v>839</v>
      </c>
      <c r="F9" s="586" t="s">
        <v>840</v>
      </c>
      <c r="G9" s="586"/>
      <c r="H9" s="560" t="s">
        <v>834</v>
      </c>
      <c r="I9" s="561">
        <v>1</v>
      </c>
      <c r="J9" s="562">
        <v>24.59</v>
      </c>
      <c r="K9" s="562">
        <v>24.59</v>
      </c>
    </row>
    <row r="10" spans="2:11" ht="30" x14ac:dyDescent="0.25">
      <c r="B10" s="558" t="s">
        <v>837</v>
      </c>
      <c r="C10" s="559" t="s">
        <v>841</v>
      </c>
      <c r="D10" s="558" t="s">
        <v>561</v>
      </c>
      <c r="E10" s="558" t="s">
        <v>842</v>
      </c>
      <c r="F10" s="586" t="s">
        <v>840</v>
      </c>
      <c r="G10" s="586"/>
      <c r="H10" s="560" t="s">
        <v>834</v>
      </c>
      <c r="I10" s="561">
        <v>2</v>
      </c>
      <c r="J10" s="562">
        <v>20.13</v>
      </c>
      <c r="K10" s="562">
        <v>40.26</v>
      </c>
    </row>
    <row r="11" spans="2:11" ht="45" x14ac:dyDescent="0.25">
      <c r="B11" s="558" t="s">
        <v>837</v>
      </c>
      <c r="C11" s="559" t="s">
        <v>843</v>
      </c>
      <c r="D11" s="558" t="s">
        <v>561</v>
      </c>
      <c r="E11" s="558" t="s">
        <v>844</v>
      </c>
      <c r="F11" s="586" t="s">
        <v>845</v>
      </c>
      <c r="G11" s="586"/>
      <c r="H11" s="560" t="s">
        <v>3</v>
      </c>
      <c r="I11" s="561">
        <v>0.01</v>
      </c>
      <c r="J11" s="562">
        <v>382.99</v>
      </c>
      <c r="K11" s="562">
        <v>3.82</v>
      </c>
    </row>
    <row r="12" spans="2:11" ht="30" x14ac:dyDescent="0.25">
      <c r="B12" s="558" t="s">
        <v>846</v>
      </c>
      <c r="C12" s="559" t="s">
        <v>847</v>
      </c>
      <c r="D12" s="558" t="s">
        <v>561</v>
      </c>
      <c r="E12" s="558" t="s">
        <v>848</v>
      </c>
      <c r="F12" s="586" t="s">
        <v>849</v>
      </c>
      <c r="G12" s="586"/>
      <c r="H12" s="560" t="s">
        <v>831</v>
      </c>
      <c r="I12" s="561">
        <v>1</v>
      </c>
      <c r="J12" s="562">
        <v>8.16</v>
      </c>
      <c r="K12" s="562">
        <v>8.16</v>
      </c>
    </row>
    <row r="13" spans="2:11" ht="30" x14ac:dyDescent="0.25">
      <c r="B13" s="558" t="s">
        <v>846</v>
      </c>
      <c r="C13" s="559" t="s">
        <v>850</v>
      </c>
      <c r="D13" s="558" t="s">
        <v>561</v>
      </c>
      <c r="E13" s="558" t="s">
        <v>851</v>
      </c>
      <c r="F13" s="586" t="s">
        <v>849</v>
      </c>
      <c r="G13" s="586"/>
      <c r="H13" s="560" t="s">
        <v>831</v>
      </c>
      <c r="I13" s="561">
        <v>4</v>
      </c>
      <c r="J13" s="562">
        <v>7.74</v>
      </c>
      <c r="K13" s="562">
        <v>30.96</v>
      </c>
    </row>
    <row r="14" spans="2:11" ht="30" x14ac:dyDescent="0.25">
      <c r="B14" s="558" t="s">
        <v>846</v>
      </c>
      <c r="C14" s="559" t="s">
        <v>852</v>
      </c>
      <c r="D14" s="558" t="s">
        <v>561</v>
      </c>
      <c r="E14" s="558" t="s">
        <v>853</v>
      </c>
      <c r="F14" s="586" t="s">
        <v>849</v>
      </c>
      <c r="G14" s="586"/>
      <c r="H14" s="560" t="s">
        <v>2</v>
      </c>
      <c r="I14" s="561">
        <v>1</v>
      </c>
      <c r="J14" s="562">
        <v>250</v>
      </c>
      <c r="K14" s="562">
        <v>250</v>
      </c>
    </row>
    <row r="15" spans="2:11" x14ac:dyDescent="0.25">
      <c r="B15" s="558" t="s">
        <v>846</v>
      </c>
      <c r="C15" s="559" t="s">
        <v>854</v>
      </c>
      <c r="D15" s="558" t="s">
        <v>561</v>
      </c>
      <c r="E15" s="558" t="s">
        <v>855</v>
      </c>
      <c r="F15" s="586" t="s">
        <v>849</v>
      </c>
      <c r="G15" s="586"/>
      <c r="H15" s="560" t="s">
        <v>856</v>
      </c>
      <c r="I15" s="561">
        <v>0.11</v>
      </c>
      <c r="J15" s="562">
        <v>19.97</v>
      </c>
      <c r="K15" s="562">
        <v>2.19</v>
      </c>
    </row>
    <row r="16" spans="2:11" x14ac:dyDescent="0.25">
      <c r="B16" s="563"/>
      <c r="C16" s="563"/>
      <c r="D16" s="563"/>
      <c r="E16" s="563"/>
      <c r="F16" s="563" t="s">
        <v>857</v>
      </c>
      <c r="G16" s="564">
        <v>46.27</v>
      </c>
      <c r="H16" s="563" t="s">
        <v>858</v>
      </c>
      <c r="I16" s="564">
        <v>0</v>
      </c>
      <c r="J16" s="563" t="s">
        <v>859</v>
      </c>
      <c r="K16" s="564">
        <v>46.27</v>
      </c>
    </row>
    <row r="17" spans="2:11" ht="15.75" thickBot="1" x14ac:dyDescent="0.3">
      <c r="B17" s="563"/>
      <c r="C17" s="563"/>
      <c r="D17" s="563"/>
      <c r="E17" s="563"/>
      <c r="F17" s="563" t="s">
        <v>860</v>
      </c>
      <c r="G17" s="564">
        <v>74.510000000000005</v>
      </c>
      <c r="H17" s="563"/>
      <c r="I17" s="583" t="s">
        <v>861</v>
      </c>
      <c r="J17" s="583"/>
      <c r="K17" s="564">
        <v>434.49</v>
      </c>
    </row>
    <row r="18" spans="2:11" ht="15.75" thickTop="1" x14ac:dyDescent="0.25">
      <c r="B18" s="565"/>
      <c r="C18" s="565"/>
      <c r="D18" s="565"/>
      <c r="E18" s="565"/>
      <c r="F18" s="565"/>
      <c r="G18" s="565"/>
      <c r="H18" s="565"/>
      <c r="I18" s="565"/>
      <c r="J18" s="565"/>
      <c r="K18" s="565"/>
    </row>
    <row r="19" spans="2:11" x14ac:dyDescent="0.25">
      <c r="B19" s="555" t="s">
        <v>563</v>
      </c>
      <c r="C19" s="556" t="s">
        <v>116</v>
      </c>
      <c r="D19" s="555" t="s">
        <v>117</v>
      </c>
      <c r="E19" s="555" t="s">
        <v>118</v>
      </c>
      <c r="F19" s="584" t="s">
        <v>105</v>
      </c>
      <c r="G19" s="584"/>
      <c r="H19" s="557" t="s">
        <v>119</v>
      </c>
      <c r="I19" s="556" t="s">
        <v>120</v>
      </c>
      <c r="J19" s="556" t="s">
        <v>121</v>
      </c>
      <c r="K19" s="556" t="s">
        <v>0</v>
      </c>
    </row>
    <row r="20" spans="2:11" ht="30" x14ac:dyDescent="0.25">
      <c r="B20" s="549" t="s">
        <v>835</v>
      </c>
      <c r="C20" s="550" t="s">
        <v>564</v>
      </c>
      <c r="D20" s="549" t="s">
        <v>557</v>
      </c>
      <c r="E20" s="549" t="s">
        <v>565</v>
      </c>
      <c r="F20" s="585" t="s">
        <v>862</v>
      </c>
      <c r="G20" s="585"/>
      <c r="H20" s="551" t="s">
        <v>829</v>
      </c>
      <c r="I20" s="552">
        <v>1</v>
      </c>
      <c r="J20" s="553">
        <v>2680.97</v>
      </c>
      <c r="K20" s="553">
        <v>2680.97</v>
      </c>
    </row>
    <row r="21" spans="2:11" ht="30" x14ac:dyDescent="0.25">
      <c r="B21" s="558" t="s">
        <v>837</v>
      </c>
      <c r="C21" s="559" t="s">
        <v>863</v>
      </c>
      <c r="D21" s="558" t="s">
        <v>561</v>
      </c>
      <c r="E21" s="558" t="s">
        <v>864</v>
      </c>
      <c r="F21" s="586" t="s">
        <v>840</v>
      </c>
      <c r="G21" s="586"/>
      <c r="H21" s="560" t="s">
        <v>834</v>
      </c>
      <c r="I21" s="561">
        <v>8</v>
      </c>
      <c r="J21" s="562">
        <v>25.26</v>
      </c>
      <c r="K21" s="562">
        <v>202.08</v>
      </c>
    </row>
    <row r="22" spans="2:11" ht="30" x14ac:dyDescent="0.25">
      <c r="B22" s="558" t="s">
        <v>837</v>
      </c>
      <c r="C22" s="559" t="s">
        <v>841</v>
      </c>
      <c r="D22" s="558" t="s">
        <v>561</v>
      </c>
      <c r="E22" s="558" t="s">
        <v>842</v>
      </c>
      <c r="F22" s="586" t="s">
        <v>840</v>
      </c>
      <c r="G22" s="586"/>
      <c r="H22" s="560" t="s">
        <v>834</v>
      </c>
      <c r="I22" s="561">
        <v>8</v>
      </c>
      <c r="J22" s="562">
        <v>20.13</v>
      </c>
      <c r="K22" s="562">
        <v>161.04</v>
      </c>
    </row>
    <row r="23" spans="2:11" ht="30" x14ac:dyDescent="0.25">
      <c r="B23" s="558" t="s">
        <v>846</v>
      </c>
      <c r="C23" s="559" t="s">
        <v>865</v>
      </c>
      <c r="D23" s="558" t="s">
        <v>561</v>
      </c>
      <c r="E23" s="558" t="s">
        <v>866</v>
      </c>
      <c r="F23" s="586" t="s">
        <v>849</v>
      </c>
      <c r="G23" s="586"/>
      <c r="H23" s="560" t="s">
        <v>833</v>
      </c>
      <c r="I23" s="561">
        <v>0.13333329999999999</v>
      </c>
      <c r="J23" s="562">
        <v>84.41</v>
      </c>
      <c r="K23" s="562">
        <v>11.25</v>
      </c>
    </row>
    <row r="24" spans="2:11" ht="30" x14ac:dyDescent="0.25">
      <c r="B24" s="558" t="s">
        <v>846</v>
      </c>
      <c r="C24" s="559" t="s">
        <v>867</v>
      </c>
      <c r="D24" s="558" t="s">
        <v>561</v>
      </c>
      <c r="E24" s="558" t="s">
        <v>868</v>
      </c>
      <c r="F24" s="586" t="s">
        <v>849</v>
      </c>
      <c r="G24" s="586"/>
      <c r="H24" s="560" t="s">
        <v>833</v>
      </c>
      <c r="I24" s="561">
        <v>2</v>
      </c>
      <c r="J24" s="562">
        <v>48.21</v>
      </c>
      <c r="K24" s="562">
        <v>96.42</v>
      </c>
    </row>
    <row r="25" spans="2:11" x14ac:dyDescent="0.25">
      <c r="B25" s="558" t="s">
        <v>846</v>
      </c>
      <c r="C25" s="559" t="s">
        <v>869</v>
      </c>
      <c r="D25" s="558" t="s">
        <v>561</v>
      </c>
      <c r="E25" s="558" t="s">
        <v>870</v>
      </c>
      <c r="F25" s="586" t="s">
        <v>849</v>
      </c>
      <c r="G25" s="586"/>
      <c r="H25" s="560" t="s">
        <v>831</v>
      </c>
      <c r="I25" s="561">
        <v>3</v>
      </c>
      <c r="J25" s="562">
        <v>16.010000000000002</v>
      </c>
      <c r="K25" s="562">
        <v>48.03</v>
      </c>
    </row>
    <row r="26" spans="2:11" ht="30" x14ac:dyDescent="0.25">
      <c r="B26" s="558" t="s">
        <v>846</v>
      </c>
      <c r="C26" s="559" t="s">
        <v>871</v>
      </c>
      <c r="D26" s="558" t="s">
        <v>561</v>
      </c>
      <c r="E26" s="558" t="s">
        <v>872</v>
      </c>
      <c r="F26" s="586" t="s">
        <v>849</v>
      </c>
      <c r="G26" s="586"/>
      <c r="H26" s="560" t="s">
        <v>831</v>
      </c>
      <c r="I26" s="561">
        <v>27</v>
      </c>
      <c r="J26" s="562">
        <v>8.18</v>
      </c>
      <c r="K26" s="562">
        <v>220.86</v>
      </c>
    </row>
    <row r="27" spans="2:11" ht="30" x14ac:dyDescent="0.25">
      <c r="B27" s="558" t="s">
        <v>846</v>
      </c>
      <c r="C27" s="559" t="s">
        <v>873</v>
      </c>
      <c r="D27" s="558" t="s">
        <v>561</v>
      </c>
      <c r="E27" s="558" t="s">
        <v>874</v>
      </c>
      <c r="F27" s="586" t="s">
        <v>849</v>
      </c>
      <c r="G27" s="586"/>
      <c r="H27" s="560" t="s">
        <v>833</v>
      </c>
      <c r="I27" s="561">
        <v>1</v>
      </c>
      <c r="J27" s="562">
        <v>254.79</v>
      </c>
      <c r="K27" s="562">
        <v>254.79</v>
      </c>
    </row>
    <row r="28" spans="2:11" ht="30" x14ac:dyDescent="0.25">
      <c r="B28" s="558" t="s">
        <v>846</v>
      </c>
      <c r="C28" s="559" t="s">
        <v>875</v>
      </c>
      <c r="D28" s="558" t="s">
        <v>561</v>
      </c>
      <c r="E28" s="558" t="s">
        <v>876</v>
      </c>
      <c r="F28" s="586" t="s">
        <v>849</v>
      </c>
      <c r="G28" s="586"/>
      <c r="H28" s="560" t="s">
        <v>833</v>
      </c>
      <c r="I28" s="561">
        <v>2</v>
      </c>
      <c r="J28" s="562">
        <v>159.99</v>
      </c>
      <c r="K28" s="562">
        <v>319.98</v>
      </c>
    </row>
    <row r="29" spans="2:11" ht="30" x14ac:dyDescent="0.25">
      <c r="B29" s="558" t="s">
        <v>846</v>
      </c>
      <c r="C29" s="559" t="s">
        <v>877</v>
      </c>
      <c r="D29" s="558" t="s">
        <v>561</v>
      </c>
      <c r="E29" s="558" t="s">
        <v>878</v>
      </c>
      <c r="F29" s="586" t="s">
        <v>849</v>
      </c>
      <c r="G29" s="586"/>
      <c r="H29" s="560" t="s">
        <v>833</v>
      </c>
      <c r="I29" s="561">
        <v>8</v>
      </c>
      <c r="J29" s="562">
        <v>7.99</v>
      </c>
      <c r="K29" s="562">
        <v>63.92</v>
      </c>
    </row>
    <row r="30" spans="2:11" x14ac:dyDescent="0.25">
      <c r="B30" s="558" t="s">
        <v>846</v>
      </c>
      <c r="C30" s="559" t="s">
        <v>879</v>
      </c>
      <c r="D30" s="558" t="s">
        <v>561</v>
      </c>
      <c r="E30" s="558" t="s">
        <v>880</v>
      </c>
      <c r="F30" s="586" t="s">
        <v>849</v>
      </c>
      <c r="G30" s="586"/>
      <c r="H30" s="560" t="s">
        <v>833</v>
      </c>
      <c r="I30" s="561">
        <v>4</v>
      </c>
      <c r="J30" s="562">
        <v>1.1100000000000001</v>
      </c>
      <c r="K30" s="562">
        <v>4.4400000000000004</v>
      </c>
    </row>
    <row r="31" spans="2:11" x14ac:dyDescent="0.25">
      <c r="B31" s="558" t="s">
        <v>846</v>
      </c>
      <c r="C31" s="559" t="s">
        <v>881</v>
      </c>
      <c r="D31" s="558" t="s">
        <v>561</v>
      </c>
      <c r="E31" s="558" t="s">
        <v>882</v>
      </c>
      <c r="F31" s="586" t="s">
        <v>849</v>
      </c>
      <c r="G31" s="586"/>
      <c r="H31" s="560" t="s">
        <v>833</v>
      </c>
      <c r="I31" s="561">
        <v>1</v>
      </c>
      <c r="J31" s="562">
        <v>81.96</v>
      </c>
      <c r="K31" s="562">
        <v>81.96</v>
      </c>
    </row>
    <row r="32" spans="2:11" x14ac:dyDescent="0.25">
      <c r="B32" s="558" t="s">
        <v>846</v>
      </c>
      <c r="C32" s="559" t="s">
        <v>883</v>
      </c>
      <c r="D32" s="558" t="s">
        <v>561</v>
      </c>
      <c r="E32" s="558" t="s">
        <v>884</v>
      </c>
      <c r="F32" s="586" t="s">
        <v>849</v>
      </c>
      <c r="G32" s="586"/>
      <c r="H32" s="560" t="s">
        <v>831</v>
      </c>
      <c r="I32" s="561">
        <v>8</v>
      </c>
      <c r="J32" s="562">
        <v>8.17</v>
      </c>
      <c r="K32" s="562">
        <v>65.36</v>
      </c>
    </row>
    <row r="33" spans="2:11" ht="30" x14ac:dyDescent="0.25">
      <c r="B33" s="558" t="s">
        <v>846</v>
      </c>
      <c r="C33" s="559" t="s">
        <v>885</v>
      </c>
      <c r="D33" s="558" t="s">
        <v>561</v>
      </c>
      <c r="E33" s="558" t="s">
        <v>886</v>
      </c>
      <c r="F33" s="586" t="s">
        <v>849</v>
      </c>
      <c r="G33" s="586"/>
      <c r="H33" s="560" t="s">
        <v>831</v>
      </c>
      <c r="I33" s="561">
        <v>7.96</v>
      </c>
      <c r="J33" s="562">
        <v>130.83000000000001</v>
      </c>
      <c r="K33" s="562">
        <v>1041.4000000000001</v>
      </c>
    </row>
    <row r="34" spans="2:11" ht="30" x14ac:dyDescent="0.25">
      <c r="B34" s="558" t="s">
        <v>846</v>
      </c>
      <c r="C34" s="559" t="s">
        <v>887</v>
      </c>
      <c r="D34" s="558" t="s">
        <v>561</v>
      </c>
      <c r="E34" s="558" t="s">
        <v>888</v>
      </c>
      <c r="F34" s="586" t="s">
        <v>849</v>
      </c>
      <c r="G34" s="586"/>
      <c r="H34" s="560" t="s">
        <v>833</v>
      </c>
      <c r="I34" s="561">
        <v>1</v>
      </c>
      <c r="J34" s="562">
        <v>68.12</v>
      </c>
      <c r="K34" s="562">
        <v>68.12</v>
      </c>
    </row>
    <row r="35" spans="2:11" ht="45" x14ac:dyDescent="0.25">
      <c r="B35" s="558" t="s">
        <v>846</v>
      </c>
      <c r="C35" s="559" t="s">
        <v>889</v>
      </c>
      <c r="D35" s="558" t="s">
        <v>561</v>
      </c>
      <c r="E35" s="558" t="s">
        <v>890</v>
      </c>
      <c r="F35" s="586" t="s">
        <v>849</v>
      </c>
      <c r="G35" s="586"/>
      <c r="H35" s="560" t="s">
        <v>833</v>
      </c>
      <c r="I35" s="561">
        <v>2</v>
      </c>
      <c r="J35" s="562">
        <v>14.06</v>
      </c>
      <c r="K35" s="562">
        <v>28.12</v>
      </c>
    </row>
    <row r="36" spans="2:11" ht="30" x14ac:dyDescent="0.25">
      <c r="B36" s="558" t="s">
        <v>846</v>
      </c>
      <c r="C36" s="559" t="s">
        <v>891</v>
      </c>
      <c r="D36" s="558" t="s">
        <v>561</v>
      </c>
      <c r="E36" s="558" t="s">
        <v>892</v>
      </c>
      <c r="F36" s="586" t="s">
        <v>849</v>
      </c>
      <c r="G36" s="586"/>
      <c r="H36" s="560" t="s">
        <v>833</v>
      </c>
      <c r="I36" s="561">
        <v>2</v>
      </c>
      <c r="J36" s="562">
        <v>1.56</v>
      </c>
      <c r="K36" s="562">
        <v>3.12</v>
      </c>
    </row>
    <row r="37" spans="2:11" x14ac:dyDescent="0.25">
      <c r="B37" s="558" t="s">
        <v>846</v>
      </c>
      <c r="C37" s="559" t="s">
        <v>893</v>
      </c>
      <c r="D37" s="558" t="s">
        <v>561</v>
      </c>
      <c r="E37" s="558" t="s">
        <v>894</v>
      </c>
      <c r="F37" s="586" t="s">
        <v>849</v>
      </c>
      <c r="G37" s="586"/>
      <c r="H37" s="560" t="s">
        <v>833</v>
      </c>
      <c r="I37" s="561">
        <v>2</v>
      </c>
      <c r="J37" s="562">
        <v>3.14</v>
      </c>
      <c r="K37" s="562">
        <v>6.28</v>
      </c>
    </row>
    <row r="38" spans="2:11" x14ac:dyDescent="0.25">
      <c r="B38" s="558" t="s">
        <v>846</v>
      </c>
      <c r="C38" s="559" t="s">
        <v>895</v>
      </c>
      <c r="D38" s="558" t="s">
        <v>561</v>
      </c>
      <c r="E38" s="558" t="s">
        <v>896</v>
      </c>
      <c r="F38" s="586" t="s">
        <v>849</v>
      </c>
      <c r="G38" s="586"/>
      <c r="H38" s="560" t="s">
        <v>833</v>
      </c>
      <c r="I38" s="561">
        <v>2</v>
      </c>
      <c r="J38" s="562">
        <v>1.0900000000000001</v>
      </c>
      <c r="K38" s="562">
        <v>2.1800000000000002</v>
      </c>
    </row>
    <row r="39" spans="2:11" x14ac:dyDescent="0.25">
      <c r="B39" s="558" t="s">
        <v>846</v>
      </c>
      <c r="C39" s="559" t="s">
        <v>897</v>
      </c>
      <c r="D39" s="558" t="s">
        <v>561</v>
      </c>
      <c r="E39" s="558" t="s">
        <v>898</v>
      </c>
      <c r="F39" s="586" t="s">
        <v>849</v>
      </c>
      <c r="G39" s="586"/>
      <c r="H39" s="560" t="s">
        <v>833</v>
      </c>
      <c r="I39" s="561">
        <v>2</v>
      </c>
      <c r="J39" s="562">
        <v>0.81</v>
      </c>
      <c r="K39" s="562">
        <v>1.62</v>
      </c>
    </row>
    <row r="40" spans="2:11" x14ac:dyDescent="0.25">
      <c r="B40" s="563"/>
      <c r="C40" s="563"/>
      <c r="D40" s="563"/>
      <c r="E40" s="563"/>
      <c r="F40" s="563" t="s">
        <v>857</v>
      </c>
      <c r="G40" s="564">
        <v>259.83999999999997</v>
      </c>
      <c r="H40" s="563" t="s">
        <v>858</v>
      </c>
      <c r="I40" s="564">
        <v>0</v>
      </c>
      <c r="J40" s="563" t="s">
        <v>859</v>
      </c>
      <c r="K40" s="564">
        <v>259.83999999999997</v>
      </c>
    </row>
    <row r="41" spans="2:11" ht="15.75" thickBot="1" x14ac:dyDescent="0.3">
      <c r="B41" s="563"/>
      <c r="C41" s="563"/>
      <c r="D41" s="563"/>
      <c r="E41" s="563"/>
      <c r="F41" s="563" t="s">
        <v>860</v>
      </c>
      <c r="G41" s="564">
        <v>554.96</v>
      </c>
      <c r="H41" s="563"/>
      <c r="I41" s="583" t="s">
        <v>861</v>
      </c>
      <c r="J41" s="583"/>
      <c r="K41" s="564">
        <v>3235.93</v>
      </c>
    </row>
    <row r="42" spans="2:11" ht="15.75" thickTop="1" x14ac:dyDescent="0.25">
      <c r="B42" s="565"/>
      <c r="C42" s="565"/>
      <c r="D42" s="565"/>
      <c r="E42" s="565"/>
      <c r="F42" s="565"/>
      <c r="G42" s="565"/>
      <c r="H42" s="565"/>
      <c r="I42" s="565"/>
      <c r="J42" s="565"/>
      <c r="K42" s="565"/>
    </row>
    <row r="43" spans="2:11" x14ac:dyDescent="0.25">
      <c r="B43" s="555" t="s">
        <v>566</v>
      </c>
      <c r="C43" s="556" t="s">
        <v>116</v>
      </c>
      <c r="D43" s="555" t="s">
        <v>117</v>
      </c>
      <c r="E43" s="555" t="s">
        <v>118</v>
      </c>
      <c r="F43" s="584" t="s">
        <v>105</v>
      </c>
      <c r="G43" s="584"/>
      <c r="H43" s="557" t="s">
        <v>119</v>
      </c>
      <c r="I43" s="556" t="s">
        <v>120</v>
      </c>
      <c r="J43" s="556" t="s">
        <v>121</v>
      </c>
      <c r="K43" s="556" t="s">
        <v>0</v>
      </c>
    </row>
    <row r="44" spans="2:11" ht="30" x14ac:dyDescent="0.25">
      <c r="B44" s="549" t="s">
        <v>835</v>
      </c>
      <c r="C44" s="550" t="s">
        <v>567</v>
      </c>
      <c r="D44" s="549" t="s">
        <v>557</v>
      </c>
      <c r="E44" s="549" t="s">
        <v>568</v>
      </c>
      <c r="F44" s="585" t="s">
        <v>840</v>
      </c>
      <c r="G44" s="585"/>
      <c r="H44" s="551" t="s">
        <v>829</v>
      </c>
      <c r="I44" s="552">
        <v>1</v>
      </c>
      <c r="J44" s="553">
        <v>945.5</v>
      </c>
      <c r="K44" s="553">
        <v>945.5</v>
      </c>
    </row>
    <row r="45" spans="2:11" ht="30" x14ac:dyDescent="0.25">
      <c r="B45" s="558" t="s">
        <v>837</v>
      </c>
      <c r="C45" s="559" t="s">
        <v>899</v>
      </c>
      <c r="D45" s="558" t="s">
        <v>561</v>
      </c>
      <c r="E45" s="558" t="s">
        <v>900</v>
      </c>
      <c r="F45" s="586" t="s">
        <v>901</v>
      </c>
      <c r="G45" s="586"/>
      <c r="H45" s="560" t="s">
        <v>833</v>
      </c>
      <c r="I45" s="561">
        <v>1</v>
      </c>
      <c r="J45" s="562">
        <v>136.44</v>
      </c>
      <c r="K45" s="562">
        <v>136.44</v>
      </c>
    </row>
    <row r="46" spans="2:11" ht="30" x14ac:dyDescent="0.25">
      <c r="B46" s="558" t="s">
        <v>837</v>
      </c>
      <c r="C46" s="559" t="s">
        <v>902</v>
      </c>
      <c r="D46" s="558" t="s">
        <v>561</v>
      </c>
      <c r="E46" s="558" t="s">
        <v>903</v>
      </c>
      <c r="F46" s="586" t="s">
        <v>901</v>
      </c>
      <c r="G46" s="586"/>
      <c r="H46" s="560" t="s">
        <v>833</v>
      </c>
      <c r="I46" s="561">
        <v>1</v>
      </c>
      <c r="J46" s="562">
        <v>121.25</v>
      </c>
      <c r="K46" s="562">
        <v>121.25</v>
      </c>
    </row>
    <row r="47" spans="2:11" ht="45" x14ac:dyDescent="0.25">
      <c r="B47" s="558" t="s">
        <v>837</v>
      </c>
      <c r="C47" s="559" t="s">
        <v>904</v>
      </c>
      <c r="D47" s="558" t="s">
        <v>561</v>
      </c>
      <c r="E47" s="558" t="s">
        <v>905</v>
      </c>
      <c r="F47" s="586" t="s">
        <v>901</v>
      </c>
      <c r="G47" s="586"/>
      <c r="H47" s="560" t="s">
        <v>833</v>
      </c>
      <c r="I47" s="561">
        <v>1</v>
      </c>
      <c r="J47" s="562">
        <v>239.09</v>
      </c>
      <c r="K47" s="562">
        <v>239.09</v>
      </c>
    </row>
    <row r="48" spans="2:11" ht="30" x14ac:dyDescent="0.25">
      <c r="B48" s="558" t="s">
        <v>837</v>
      </c>
      <c r="C48" s="559" t="s">
        <v>907</v>
      </c>
      <c r="D48" s="558" t="s">
        <v>557</v>
      </c>
      <c r="E48" s="558" t="s">
        <v>908</v>
      </c>
      <c r="F48" s="586" t="s">
        <v>906</v>
      </c>
      <c r="G48" s="586"/>
      <c r="H48" s="560" t="s">
        <v>833</v>
      </c>
      <c r="I48" s="561">
        <v>1</v>
      </c>
      <c r="J48" s="562">
        <v>63.37</v>
      </c>
      <c r="K48" s="562">
        <v>63.37</v>
      </c>
    </row>
    <row r="49" spans="2:11" ht="30" x14ac:dyDescent="0.25">
      <c r="B49" s="558" t="s">
        <v>837</v>
      </c>
      <c r="C49" s="559" t="s">
        <v>1320</v>
      </c>
      <c r="D49" s="558" t="s">
        <v>557</v>
      </c>
      <c r="E49" s="558" t="s">
        <v>1321</v>
      </c>
      <c r="F49" s="586" t="s">
        <v>906</v>
      </c>
      <c r="G49" s="586"/>
      <c r="H49" s="560" t="s">
        <v>831</v>
      </c>
      <c r="I49" s="561">
        <v>15</v>
      </c>
      <c r="J49" s="562">
        <v>25.69</v>
      </c>
      <c r="K49" s="562">
        <v>385.35</v>
      </c>
    </row>
    <row r="50" spans="2:11" x14ac:dyDescent="0.25">
      <c r="B50" s="563"/>
      <c r="C50" s="563"/>
      <c r="D50" s="563"/>
      <c r="E50" s="563"/>
      <c r="F50" s="563" t="s">
        <v>857</v>
      </c>
      <c r="G50" s="564">
        <v>303.17</v>
      </c>
      <c r="H50" s="563" t="s">
        <v>858</v>
      </c>
      <c r="I50" s="564">
        <v>0</v>
      </c>
      <c r="J50" s="563" t="s">
        <v>859</v>
      </c>
      <c r="K50" s="564">
        <v>303.17</v>
      </c>
    </row>
    <row r="51" spans="2:11" ht="15.75" thickBot="1" x14ac:dyDescent="0.3">
      <c r="B51" s="563"/>
      <c r="C51" s="563"/>
      <c r="D51" s="563"/>
      <c r="E51" s="563"/>
      <c r="F51" s="563" t="s">
        <v>860</v>
      </c>
      <c r="G51" s="564">
        <v>195.71</v>
      </c>
      <c r="H51" s="563"/>
      <c r="I51" s="583" t="s">
        <v>861</v>
      </c>
      <c r="J51" s="583"/>
      <c r="K51" s="564">
        <v>1141.21</v>
      </c>
    </row>
    <row r="52" spans="2:11" ht="15.75" thickTop="1" x14ac:dyDescent="0.25">
      <c r="B52" s="565"/>
      <c r="C52" s="565"/>
      <c r="D52" s="565"/>
      <c r="E52" s="565"/>
      <c r="F52" s="565"/>
      <c r="G52" s="565"/>
      <c r="H52" s="565"/>
      <c r="I52" s="565"/>
      <c r="J52" s="565"/>
      <c r="K52" s="565"/>
    </row>
    <row r="53" spans="2:11" x14ac:dyDescent="0.25">
      <c r="B53" s="555" t="s">
        <v>569</v>
      </c>
      <c r="C53" s="556" t="s">
        <v>116</v>
      </c>
      <c r="D53" s="555" t="s">
        <v>117</v>
      </c>
      <c r="E53" s="555" t="s">
        <v>118</v>
      </c>
      <c r="F53" s="584" t="s">
        <v>105</v>
      </c>
      <c r="G53" s="584"/>
      <c r="H53" s="557" t="s">
        <v>119</v>
      </c>
      <c r="I53" s="556" t="s">
        <v>120</v>
      </c>
      <c r="J53" s="556" t="s">
        <v>121</v>
      </c>
      <c r="K53" s="556" t="s">
        <v>0</v>
      </c>
    </row>
    <row r="54" spans="2:11" ht="30" x14ac:dyDescent="0.25">
      <c r="B54" s="549" t="s">
        <v>835</v>
      </c>
      <c r="C54" s="550" t="s">
        <v>570</v>
      </c>
      <c r="D54" s="549" t="s">
        <v>557</v>
      </c>
      <c r="E54" s="549" t="s">
        <v>571</v>
      </c>
      <c r="F54" s="585" t="s">
        <v>840</v>
      </c>
      <c r="G54" s="585"/>
      <c r="H54" s="551" t="s">
        <v>829</v>
      </c>
      <c r="I54" s="552">
        <v>1</v>
      </c>
      <c r="J54" s="553">
        <v>336.59</v>
      </c>
      <c r="K54" s="553">
        <v>336.59</v>
      </c>
    </row>
    <row r="55" spans="2:11" ht="30" x14ac:dyDescent="0.25">
      <c r="B55" s="558" t="s">
        <v>837</v>
      </c>
      <c r="C55" s="559" t="s">
        <v>838</v>
      </c>
      <c r="D55" s="558" t="s">
        <v>561</v>
      </c>
      <c r="E55" s="558" t="s">
        <v>839</v>
      </c>
      <c r="F55" s="586" t="s">
        <v>840</v>
      </c>
      <c r="G55" s="586"/>
      <c r="H55" s="560" t="s">
        <v>834</v>
      </c>
      <c r="I55" s="561">
        <v>1</v>
      </c>
      <c r="J55" s="562">
        <v>24.59</v>
      </c>
      <c r="K55" s="562">
        <v>24.59</v>
      </c>
    </row>
    <row r="56" spans="2:11" ht="60" x14ac:dyDescent="0.25">
      <c r="B56" s="558" t="s">
        <v>837</v>
      </c>
      <c r="C56" s="559" t="s">
        <v>909</v>
      </c>
      <c r="D56" s="558" t="s">
        <v>561</v>
      </c>
      <c r="E56" s="558" t="s">
        <v>910</v>
      </c>
      <c r="F56" s="586" t="s">
        <v>911</v>
      </c>
      <c r="G56" s="586"/>
      <c r="H56" s="560" t="s">
        <v>912</v>
      </c>
      <c r="I56" s="561">
        <v>0.01</v>
      </c>
      <c r="J56" s="562">
        <v>248.16</v>
      </c>
      <c r="K56" s="562">
        <v>2.48</v>
      </c>
    </row>
    <row r="57" spans="2:11" ht="30" x14ac:dyDescent="0.25">
      <c r="B57" s="558" t="s">
        <v>837</v>
      </c>
      <c r="C57" s="559" t="s">
        <v>841</v>
      </c>
      <c r="D57" s="558" t="s">
        <v>561</v>
      </c>
      <c r="E57" s="558" t="s">
        <v>842</v>
      </c>
      <c r="F57" s="586" t="s">
        <v>840</v>
      </c>
      <c r="G57" s="586"/>
      <c r="H57" s="560" t="s">
        <v>834</v>
      </c>
      <c r="I57" s="561">
        <v>1.5</v>
      </c>
      <c r="J57" s="562">
        <v>20.13</v>
      </c>
      <c r="K57" s="562">
        <v>30.19</v>
      </c>
    </row>
    <row r="58" spans="2:11" ht="30" x14ac:dyDescent="0.25">
      <c r="B58" s="558" t="s">
        <v>846</v>
      </c>
      <c r="C58" s="559" t="s">
        <v>913</v>
      </c>
      <c r="D58" s="558" t="s">
        <v>561</v>
      </c>
      <c r="E58" s="558" t="s">
        <v>914</v>
      </c>
      <c r="F58" s="586" t="s">
        <v>849</v>
      </c>
      <c r="G58" s="586"/>
      <c r="H58" s="560" t="s">
        <v>831</v>
      </c>
      <c r="I58" s="561">
        <v>1</v>
      </c>
      <c r="J58" s="562">
        <v>29.33</v>
      </c>
      <c r="K58" s="562">
        <v>29.33</v>
      </c>
    </row>
    <row r="59" spans="2:11" ht="30" x14ac:dyDescent="0.25">
      <c r="B59" s="558" t="s">
        <v>846</v>
      </c>
      <c r="C59" s="559" t="s">
        <v>852</v>
      </c>
      <c r="D59" s="558" t="s">
        <v>561</v>
      </c>
      <c r="E59" s="558" t="s">
        <v>853</v>
      </c>
      <c r="F59" s="586" t="s">
        <v>849</v>
      </c>
      <c r="G59" s="586"/>
      <c r="H59" s="560" t="s">
        <v>2</v>
      </c>
      <c r="I59" s="561">
        <v>1</v>
      </c>
      <c r="J59" s="562">
        <v>250</v>
      </c>
      <c r="K59" s="562">
        <v>250</v>
      </c>
    </row>
    <row r="60" spans="2:11" x14ac:dyDescent="0.25">
      <c r="B60" s="563"/>
      <c r="C60" s="563"/>
      <c r="D60" s="563"/>
      <c r="E60" s="563"/>
      <c r="F60" s="563" t="s">
        <v>857</v>
      </c>
      <c r="G60" s="564">
        <v>38.979999999999997</v>
      </c>
      <c r="H60" s="563" t="s">
        <v>858</v>
      </c>
      <c r="I60" s="564">
        <v>0</v>
      </c>
      <c r="J60" s="563" t="s">
        <v>859</v>
      </c>
      <c r="K60" s="564">
        <v>38.979999999999997</v>
      </c>
    </row>
    <row r="61" spans="2:11" ht="15.75" thickBot="1" x14ac:dyDescent="0.3">
      <c r="B61" s="563"/>
      <c r="C61" s="563"/>
      <c r="D61" s="563"/>
      <c r="E61" s="563"/>
      <c r="F61" s="563" t="s">
        <v>860</v>
      </c>
      <c r="G61" s="564">
        <v>69.67</v>
      </c>
      <c r="H61" s="563"/>
      <c r="I61" s="583" t="s">
        <v>861</v>
      </c>
      <c r="J61" s="583"/>
      <c r="K61" s="564">
        <v>406.26</v>
      </c>
    </row>
    <row r="62" spans="2:11" ht="15.75" thickTop="1" x14ac:dyDescent="0.25">
      <c r="B62" s="565"/>
      <c r="C62" s="565"/>
      <c r="D62" s="565"/>
      <c r="E62" s="565"/>
      <c r="F62" s="565"/>
      <c r="G62" s="565"/>
      <c r="H62" s="565"/>
      <c r="I62" s="565"/>
      <c r="J62" s="565"/>
      <c r="K62" s="565"/>
    </row>
    <row r="63" spans="2:11" x14ac:dyDescent="0.25">
      <c r="B63" s="555" t="s">
        <v>572</v>
      </c>
      <c r="C63" s="556" t="s">
        <v>116</v>
      </c>
      <c r="D63" s="555" t="s">
        <v>117</v>
      </c>
      <c r="E63" s="555" t="s">
        <v>118</v>
      </c>
      <c r="F63" s="584" t="s">
        <v>105</v>
      </c>
      <c r="G63" s="584"/>
      <c r="H63" s="557" t="s">
        <v>119</v>
      </c>
      <c r="I63" s="556" t="s">
        <v>120</v>
      </c>
      <c r="J63" s="556" t="s">
        <v>121</v>
      </c>
      <c r="K63" s="556" t="s">
        <v>0</v>
      </c>
    </row>
    <row r="64" spans="2:11" ht="30" x14ac:dyDescent="0.25">
      <c r="B64" s="549" t="s">
        <v>835</v>
      </c>
      <c r="C64" s="550" t="s">
        <v>573</v>
      </c>
      <c r="D64" s="549" t="s">
        <v>557</v>
      </c>
      <c r="E64" s="549" t="s">
        <v>574</v>
      </c>
      <c r="F64" s="585" t="s">
        <v>915</v>
      </c>
      <c r="G64" s="585"/>
      <c r="H64" s="551" t="s">
        <v>2</v>
      </c>
      <c r="I64" s="552">
        <v>1</v>
      </c>
      <c r="J64" s="553">
        <v>9.17</v>
      </c>
      <c r="K64" s="553">
        <v>9.17</v>
      </c>
    </row>
    <row r="65" spans="2:11" ht="30" x14ac:dyDescent="0.25">
      <c r="B65" s="558" t="s">
        <v>837</v>
      </c>
      <c r="C65" s="559" t="s">
        <v>838</v>
      </c>
      <c r="D65" s="558" t="s">
        <v>561</v>
      </c>
      <c r="E65" s="558" t="s">
        <v>839</v>
      </c>
      <c r="F65" s="586" t="s">
        <v>840</v>
      </c>
      <c r="G65" s="586"/>
      <c r="H65" s="560" t="s">
        <v>834</v>
      </c>
      <c r="I65" s="561">
        <v>0.06</v>
      </c>
      <c r="J65" s="562">
        <v>24.59</v>
      </c>
      <c r="K65" s="562">
        <v>1.47</v>
      </c>
    </row>
    <row r="66" spans="2:11" ht="30" x14ac:dyDescent="0.25">
      <c r="B66" s="558" t="s">
        <v>837</v>
      </c>
      <c r="C66" s="559" t="s">
        <v>841</v>
      </c>
      <c r="D66" s="558" t="s">
        <v>561</v>
      </c>
      <c r="E66" s="558" t="s">
        <v>842</v>
      </c>
      <c r="F66" s="586" t="s">
        <v>840</v>
      </c>
      <c r="G66" s="586"/>
      <c r="H66" s="560" t="s">
        <v>834</v>
      </c>
      <c r="I66" s="561">
        <v>0.18</v>
      </c>
      <c r="J66" s="562">
        <v>20.13</v>
      </c>
      <c r="K66" s="562">
        <v>3.62</v>
      </c>
    </row>
    <row r="67" spans="2:11" x14ac:dyDescent="0.25">
      <c r="B67" s="558" t="s">
        <v>846</v>
      </c>
      <c r="C67" s="559" t="s">
        <v>916</v>
      </c>
      <c r="D67" s="558" t="s">
        <v>561</v>
      </c>
      <c r="E67" s="558" t="s">
        <v>917</v>
      </c>
      <c r="F67" s="586" t="s">
        <v>849</v>
      </c>
      <c r="G67" s="586"/>
      <c r="H67" s="560" t="s">
        <v>856</v>
      </c>
      <c r="I67" s="561">
        <v>0.04</v>
      </c>
      <c r="J67" s="562">
        <v>29.68</v>
      </c>
      <c r="K67" s="562">
        <v>1.18</v>
      </c>
    </row>
    <row r="68" spans="2:11" ht="30" x14ac:dyDescent="0.25">
      <c r="B68" s="558" t="s">
        <v>846</v>
      </c>
      <c r="C68" s="559" t="s">
        <v>918</v>
      </c>
      <c r="D68" s="558" t="s">
        <v>561</v>
      </c>
      <c r="E68" s="558" t="s">
        <v>919</v>
      </c>
      <c r="F68" s="586" t="s">
        <v>849</v>
      </c>
      <c r="G68" s="586"/>
      <c r="H68" s="560" t="s">
        <v>2</v>
      </c>
      <c r="I68" s="561">
        <v>1.1000000000000001</v>
      </c>
      <c r="J68" s="562">
        <v>2.64</v>
      </c>
      <c r="K68" s="562">
        <v>2.9</v>
      </c>
    </row>
    <row r="69" spans="2:11" x14ac:dyDescent="0.25">
      <c r="B69" s="563"/>
      <c r="C69" s="563"/>
      <c r="D69" s="563"/>
      <c r="E69" s="563"/>
      <c r="F69" s="563" t="s">
        <v>857</v>
      </c>
      <c r="G69" s="564">
        <v>3.56</v>
      </c>
      <c r="H69" s="563" t="s">
        <v>858</v>
      </c>
      <c r="I69" s="564">
        <v>0</v>
      </c>
      <c r="J69" s="563" t="s">
        <v>859</v>
      </c>
      <c r="K69" s="564">
        <v>3.56</v>
      </c>
    </row>
    <row r="70" spans="2:11" ht="15.75" thickBot="1" x14ac:dyDescent="0.3">
      <c r="B70" s="563"/>
      <c r="C70" s="563"/>
      <c r="D70" s="563"/>
      <c r="E70" s="563"/>
      <c r="F70" s="563" t="s">
        <v>860</v>
      </c>
      <c r="G70" s="564">
        <v>1.89</v>
      </c>
      <c r="H70" s="563"/>
      <c r="I70" s="583" t="s">
        <v>861</v>
      </c>
      <c r="J70" s="583"/>
      <c r="K70" s="564">
        <v>11.06</v>
      </c>
    </row>
    <row r="71" spans="2:11" ht="15.75" thickTop="1" x14ac:dyDescent="0.25">
      <c r="B71" s="565"/>
      <c r="C71" s="565"/>
      <c r="D71" s="565"/>
      <c r="E71" s="565"/>
      <c r="F71" s="565"/>
      <c r="G71" s="565"/>
      <c r="H71" s="565"/>
      <c r="I71" s="565"/>
      <c r="J71" s="565"/>
      <c r="K71" s="565"/>
    </row>
    <row r="72" spans="2:11" x14ac:dyDescent="0.25">
      <c r="B72" s="555" t="s">
        <v>575</v>
      </c>
      <c r="C72" s="556" t="s">
        <v>116</v>
      </c>
      <c r="D72" s="555" t="s">
        <v>117</v>
      </c>
      <c r="E72" s="555" t="s">
        <v>118</v>
      </c>
      <c r="F72" s="584" t="s">
        <v>105</v>
      </c>
      <c r="G72" s="584"/>
      <c r="H72" s="557" t="s">
        <v>119</v>
      </c>
      <c r="I72" s="556" t="s">
        <v>120</v>
      </c>
      <c r="J72" s="556" t="s">
        <v>121</v>
      </c>
      <c r="K72" s="556" t="s">
        <v>0</v>
      </c>
    </row>
    <row r="73" spans="2:11" ht="30" x14ac:dyDescent="0.25">
      <c r="B73" s="549" t="s">
        <v>835</v>
      </c>
      <c r="C73" s="550" t="s">
        <v>576</v>
      </c>
      <c r="D73" s="549" t="s">
        <v>557</v>
      </c>
      <c r="E73" s="549" t="s">
        <v>577</v>
      </c>
      <c r="F73" s="585" t="s">
        <v>915</v>
      </c>
      <c r="G73" s="585"/>
      <c r="H73" s="551" t="s">
        <v>4</v>
      </c>
      <c r="I73" s="552">
        <v>1</v>
      </c>
      <c r="J73" s="553">
        <v>3.4</v>
      </c>
      <c r="K73" s="553">
        <v>3.4</v>
      </c>
    </row>
    <row r="74" spans="2:11" ht="30" x14ac:dyDescent="0.25">
      <c r="B74" s="558" t="s">
        <v>837</v>
      </c>
      <c r="C74" s="559" t="s">
        <v>863</v>
      </c>
      <c r="D74" s="558" t="s">
        <v>561</v>
      </c>
      <c r="E74" s="558" t="s">
        <v>864</v>
      </c>
      <c r="F74" s="586" t="s">
        <v>840</v>
      </c>
      <c r="G74" s="586"/>
      <c r="H74" s="560" t="s">
        <v>834</v>
      </c>
      <c r="I74" s="561">
        <v>0.05</v>
      </c>
      <c r="J74" s="562">
        <v>25.26</v>
      </c>
      <c r="K74" s="562">
        <v>1.26</v>
      </c>
    </row>
    <row r="75" spans="2:11" ht="30" x14ac:dyDescent="0.25">
      <c r="B75" s="558" t="s">
        <v>837</v>
      </c>
      <c r="C75" s="559" t="s">
        <v>841</v>
      </c>
      <c r="D75" s="558" t="s">
        <v>561</v>
      </c>
      <c r="E75" s="558" t="s">
        <v>842</v>
      </c>
      <c r="F75" s="586" t="s">
        <v>840</v>
      </c>
      <c r="G75" s="586"/>
      <c r="H75" s="560" t="s">
        <v>834</v>
      </c>
      <c r="I75" s="561">
        <v>0.05</v>
      </c>
      <c r="J75" s="562">
        <v>20.13</v>
      </c>
      <c r="K75" s="562">
        <v>1</v>
      </c>
    </row>
    <row r="76" spans="2:11" ht="30" x14ac:dyDescent="0.25">
      <c r="B76" s="558" t="s">
        <v>846</v>
      </c>
      <c r="C76" s="559" t="s">
        <v>920</v>
      </c>
      <c r="D76" s="558" t="s">
        <v>561</v>
      </c>
      <c r="E76" s="558" t="s">
        <v>921</v>
      </c>
      <c r="F76" s="586" t="s">
        <v>849</v>
      </c>
      <c r="G76" s="586"/>
      <c r="H76" s="560" t="s">
        <v>831</v>
      </c>
      <c r="I76" s="561">
        <v>0.3</v>
      </c>
      <c r="J76" s="562">
        <v>2.27</v>
      </c>
      <c r="K76" s="562">
        <v>0.68</v>
      </c>
    </row>
    <row r="77" spans="2:11" x14ac:dyDescent="0.25">
      <c r="B77" s="558" t="s">
        <v>846</v>
      </c>
      <c r="C77" s="559" t="s">
        <v>922</v>
      </c>
      <c r="D77" s="558" t="s">
        <v>561</v>
      </c>
      <c r="E77" s="558" t="s">
        <v>923</v>
      </c>
      <c r="F77" s="586" t="s">
        <v>849</v>
      </c>
      <c r="G77" s="586"/>
      <c r="H77" s="560" t="s">
        <v>924</v>
      </c>
      <c r="I77" s="561">
        <v>0.24</v>
      </c>
      <c r="J77" s="562">
        <v>1.1499999999999999</v>
      </c>
      <c r="K77" s="562">
        <v>0.27</v>
      </c>
    </row>
    <row r="78" spans="2:11" x14ac:dyDescent="0.25">
      <c r="B78" s="558" t="s">
        <v>846</v>
      </c>
      <c r="C78" s="559" t="s">
        <v>925</v>
      </c>
      <c r="D78" s="558" t="s">
        <v>561</v>
      </c>
      <c r="E78" s="558" t="s">
        <v>926</v>
      </c>
      <c r="F78" s="586" t="s">
        <v>849</v>
      </c>
      <c r="G78" s="586"/>
      <c r="H78" s="560" t="s">
        <v>833</v>
      </c>
      <c r="I78" s="561">
        <v>8.9999999999999993E-3</v>
      </c>
      <c r="J78" s="562">
        <v>5.0999999999999996</v>
      </c>
      <c r="K78" s="562">
        <v>0.04</v>
      </c>
    </row>
    <row r="79" spans="2:11" x14ac:dyDescent="0.25">
      <c r="B79" s="558" t="s">
        <v>846</v>
      </c>
      <c r="C79" s="559" t="s">
        <v>927</v>
      </c>
      <c r="D79" s="558" t="s">
        <v>561</v>
      </c>
      <c r="E79" s="558" t="s">
        <v>928</v>
      </c>
      <c r="F79" s="586" t="s">
        <v>849</v>
      </c>
      <c r="G79" s="586"/>
      <c r="H79" s="560" t="s">
        <v>833</v>
      </c>
      <c r="I79" s="561">
        <v>8.9999999999999993E-3</v>
      </c>
      <c r="J79" s="562">
        <v>5.69</v>
      </c>
      <c r="K79" s="562">
        <v>0.05</v>
      </c>
    </row>
    <row r="80" spans="2:11" ht="30" x14ac:dyDescent="0.25">
      <c r="B80" s="558" t="s">
        <v>846</v>
      </c>
      <c r="C80" s="559" t="s">
        <v>929</v>
      </c>
      <c r="D80" s="558" t="s">
        <v>561</v>
      </c>
      <c r="E80" s="558" t="s">
        <v>930</v>
      </c>
      <c r="F80" s="586" t="s">
        <v>849</v>
      </c>
      <c r="G80" s="586"/>
      <c r="H80" s="560" t="s">
        <v>833</v>
      </c>
      <c r="I80" s="561">
        <v>8.9999999999999993E-3</v>
      </c>
      <c r="J80" s="562">
        <v>11.69</v>
      </c>
      <c r="K80" s="562">
        <v>0.1</v>
      </c>
    </row>
    <row r="81" spans="2:11" x14ac:dyDescent="0.25">
      <c r="B81" s="563"/>
      <c r="C81" s="563"/>
      <c r="D81" s="563"/>
      <c r="E81" s="563"/>
      <c r="F81" s="563" t="s">
        <v>857</v>
      </c>
      <c r="G81" s="564">
        <v>1.61</v>
      </c>
      <c r="H81" s="563" t="s">
        <v>858</v>
      </c>
      <c r="I81" s="564">
        <v>0</v>
      </c>
      <c r="J81" s="563" t="s">
        <v>859</v>
      </c>
      <c r="K81" s="564">
        <v>1.61</v>
      </c>
    </row>
    <row r="82" spans="2:11" ht="15.75" thickBot="1" x14ac:dyDescent="0.3">
      <c r="B82" s="563"/>
      <c r="C82" s="563"/>
      <c r="D82" s="563"/>
      <c r="E82" s="563"/>
      <c r="F82" s="563" t="s">
        <v>860</v>
      </c>
      <c r="G82" s="564">
        <v>0.7</v>
      </c>
      <c r="H82" s="563"/>
      <c r="I82" s="583" t="s">
        <v>861</v>
      </c>
      <c r="J82" s="583"/>
      <c r="K82" s="564">
        <v>4.0999999999999996</v>
      </c>
    </row>
    <row r="83" spans="2:11" ht="15.75" thickTop="1" x14ac:dyDescent="0.25">
      <c r="B83" s="565"/>
      <c r="C83" s="565"/>
      <c r="D83" s="565"/>
      <c r="E83" s="565"/>
      <c r="F83" s="565"/>
      <c r="G83" s="565"/>
      <c r="H83" s="565"/>
      <c r="I83" s="565"/>
      <c r="J83" s="565"/>
      <c r="K83" s="565"/>
    </row>
    <row r="84" spans="2:11" x14ac:dyDescent="0.25">
      <c r="B84" s="555" t="s">
        <v>629</v>
      </c>
      <c r="C84" s="556" t="s">
        <v>116</v>
      </c>
      <c r="D84" s="555" t="s">
        <v>117</v>
      </c>
      <c r="E84" s="555" t="s">
        <v>118</v>
      </c>
      <c r="F84" s="584" t="s">
        <v>105</v>
      </c>
      <c r="G84" s="584"/>
      <c r="H84" s="557" t="s">
        <v>119</v>
      </c>
      <c r="I84" s="556" t="s">
        <v>120</v>
      </c>
      <c r="J84" s="556" t="s">
        <v>121</v>
      </c>
      <c r="K84" s="556" t="s">
        <v>0</v>
      </c>
    </row>
    <row r="85" spans="2:11" ht="60" x14ac:dyDescent="0.25">
      <c r="B85" s="549" t="s">
        <v>835</v>
      </c>
      <c r="C85" s="550" t="s">
        <v>630</v>
      </c>
      <c r="D85" s="549" t="s">
        <v>557</v>
      </c>
      <c r="E85" s="549" t="s">
        <v>631</v>
      </c>
      <c r="F85" s="585" t="s">
        <v>840</v>
      </c>
      <c r="G85" s="585"/>
      <c r="H85" s="551" t="s">
        <v>829</v>
      </c>
      <c r="I85" s="552">
        <v>1</v>
      </c>
      <c r="J85" s="553">
        <v>5227.16</v>
      </c>
      <c r="K85" s="553">
        <v>5227.16</v>
      </c>
    </row>
    <row r="86" spans="2:11" ht="45" x14ac:dyDescent="0.25">
      <c r="B86" s="558" t="s">
        <v>837</v>
      </c>
      <c r="C86" s="559" t="s">
        <v>931</v>
      </c>
      <c r="D86" s="558" t="s">
        <v>561</v>
      </c>
      <c r="E86" s="558" t="s">
        <v>932</v>
      </c>
      <c r="F86" s="586" t="s">
        <v>845</v>
      </c>
      <c r="G86" s="586"/>
      <c r="H86" s="560" t="s">
        <v>856</v>
      </c>
      <c r="I86" s="561">
        <v>60</v>
      </c>
      <c r="J86" s="562">
        <v>15.28</v>
      </c>
      <c r="K86" s="562">
        <v>916.8</v>
      </c>
    </row>
    <row r="87" spans="2:11" ht="45" x14ac:dyDescent="0.25">
      <c r="B87" s="558" t="s">
        <v>837</v>
      </c>
      <c r="C87" s="559" t="s">
        <v>933</v>
      </c>
      <c r="D87" s="558" t="s">
        <v>561</v>
      </c>
      <c r="E87" s="558" t="s">
        <v>934</v>
      </c>
      <c r="F87" s="586" t="s">
        <v>845</v>
      </c>
      <c r="G87" s="586"/>
      <c r="H87" s="560" t="s">
        <v>856</v>
      </c>
      <c r="I87" s="561">
        <v>8</v>
      </c>
      <c r="J87" s="562">
        <v>16.510000000000002</v>
      </c>
      <c r="K87" s="562">
        <v>132.08000000000001</v>
      </c>
    </row>
    <row r="88" spans="2:11" ht="45" x14ac:dyDescent="0.25">
      <c r="B88" s="558" t="s">
        <v>837</v>
      </c>
      <c r="C88" s="559" t="s">
        <v>935</v>
      </c>
      <c r="D88" s="558" t="s">
        <v>561</v>
      </c>
      <c r="E88" s="558" t="s">
        <v>936</v>
      </c>
      <c r="F88" s="586" t="s">
        <v>937</v>
      </c>
      <c r="G88" s="586"/>
      <c r="H88" s="560" t="s">
        <v>2</v>
      </c>
      <c r="I88" s="561">
        <v>11.4</v>
      </c>
      <c r="J88" s="562">
        <v>4.54</v>
      </c>
      <c r="K88" s="562">
        <v>51.75</v>
      </c>
    </row>
    <row r="89" spans="2:11" ht="30" x14ac:dyDescent="0.25">
      <c r="B89" s="558" t="s">
        <v>837</v>
      </c>
      <c r="C89" s="559" t="s">
        <v>938</v>
      </c>
      <c r="D89" s="558" t="s">
        <v>561</v>
      </c>
      <c r="E89" s="558" t="s">
        <v>939</v>
      </c>
      <c r="F89" s="586" t="s">
        <v>845</v>
      </c>
      <c r="G89" s="586"/>
      <c r="H89" s="560" t="s">
        <v>3</v>
      </c>
      <c r="I89" s="561">
        <v>1.74</v>
      </c>
      <c r="J89" s="562">
        <v>426.75</v>
      </c>
      <c r="K89" s="562">
        <v>742.54</v>
      </c>
    </row>
    <row r="90" spans="2:11" ht="30" x14ac:dyDescent="0.25">
      <c r="B90" s="558" t="s">
        <v>837</v>
      </c>
      <c r="C90" s="559" t="s">
        <v>940</v>
      </c>
      <c r="D90" s="558" t="s">
        <v>561</v>
      </c>
      <c r="E90" s="558" t="s">
        <v>941</v>
      </c>
      <c r="F90" s="586" t="s">
        <v>845</v>
      </c>
      <c r="G90" s="586"/>
      <c r="H90" s="560" t="s">
        <v>3</v>
      </c>
      <c r="I90" s="561">
        <v>0.64</v>
      </c>
      <c r="J90" s="562">
        <v>468.5</v>
      </c>
      <c r="K90" s="562">
        <v>299.83999999999997</v>
      </c>
    </row>
    <row r="91" spans="2:11" ht="60" x14ac:dyDescent="0.25">
      <c r="B91" s="558" t="s">
        <v>837</v>
      </c>
      <c r="C91" s="559" t="s">
        <v>942</v>
      </c>
      <c r="D91" s="558" t="s">
        <v>561</v>
      </c>
      <c r="E91" s="558" t="s">
        <v>943</v>
      </c>
      <c r="F91" s="586" t="s">
        <v>911</v>
      </c>
      <c r="G91" s="586"/>
      <c r="H91" s="560" t="s">
        <v>912</v>
      </c>
      <c r="I91" s="561">
        <v>0.1</v>
      </c>
      <c r="J91" s="562">
        <v>275.51</v>
      </c>
      <c r="K91" s="562">
        <v>27.55</v>
      </c>
    </row>
    <row r="92" spans="2:11" ht="30" x14ac:dyDescent="0.25">
      <c r="B92" s="558" t="s">
        <v>837</v>
      </c>
      <c r="C92" s="559" t="s">
        <v>944</v>
      </c>
      <c r="D92" s="558" t="s">
        <v>561</v>
      </c>
      <c r="E92" s="558" t="s">
        <v>945</v>
      </c>
      <c r="F92" s="586" t="s">
        <v>946</v>
      </c>
      <c r="G92" s="586"/>
      <c r="H92" s="560" t="s">
        <v>3</v>
      </c>
      <c r="I92" s="561">
        <v>1.1499999999999999</v>
      </c>
      <c r="J92" s="562">
        <v>24.47</v>
      </c>
      <c r="K92" s="562">
        <v>28.14</v>
      </c>
    </row>
    <row r="93" spans="2:11" ht="30" x14ac:dyDescent="0.25">
      <c r="B93" s="558" t="s">
        <v>837</v>
      </c>
      <c r="C93" s="559" t="s">
        <v>947</v>
      </c>
      <c r="D93" s="558" t="s">
        <v>561</v>
      </c>
      <c r="E93" s="558" t="s">
        <v>948</v>
      </c>
      <c r="F93" s="586" t="s">
        <v>946</v>
      </c>
      <c r="G93" s="586"/>
      <c r="H93" s="560" t="s">
        <v>3</v>
      </c>
      <c r="I93" s="561">
        <v>1.3</v>
      </c>
      <c r="J93" s="562">
        <v>79.63</v>
      </c>
      <c r="K93" s="562">
        <v>103.51</v>
      </c>
    </row>
    <row r="94" spans="2:11" ht="45" x14ac:dyDescent="0.25">
      <c r="B94" s="558" t="s">
        <v>837</v>
      </c>
      <c r="C94" s="559" t="s">
        <v>949</v>
      </c>
      <c r="D94" s="558" t="s">
        <v>561</v>
      </c>
      <c r="E94" s="558" t="s">
        <v>950</v>
      </c>
      <c r="F94" s="586" t="s">
        <v>951</v>
      </c>
      <c r="G94" s="586"/>
      <c r="H94" s="560" t="s">
        <v>2</v>
      </c>
      <c r="I94" s="561">
        <v>12.6</v>
      </c>
      <c r="J94" s="562">
        <v>137.80000000000001</v>
      </c>
      <c r="K94" s="562">
        <v>1736.28</v>
      </c>
    </row>
    <row r="95" spans="2:11" ht="30" x14ac:dyDescent="0.25">
      <c r="B95" s="558" t="s">
        <v>837</v>
      </c>
      <c r="C95" s="559" t="s">
        <v>599</v>
      </c>
      <c r="D95" s="558" t="s">
        <v>561</v>
      </c>
      <c r="E95" s="558" t="s">
        <v>600</v>
      </c>
      <c r="F95" s="586" t="s">
        <v>946</v>
      </c>
      <c r="G95" s="586"/>
      <c r="H95" s="560" t="s">
        <v>2</v>
      </c>
      <c r="I95" s="561">
        <v>8</v>
      </c>
      <c r="J95" s="562">
        <v>5.84</v>
      </c>
      <c r="K95" s="562">
        <v>46.72</v>
      </c>
    </row>
    <row r="96" spans="2:11" ht="45" x14ac:dyDescent="0.25">
      <c r="B96" s="558" t="s">
        <v>837</v>
      </c>
      <c r="C96" s="559" t="s">
        <v>952</v>
      </c>
      <c r="D96" s="558" t="s">
        <v>561</v>
      </c>
      <c r="E96" s="558" t="s">
        <v>953</v>
      </c>
      <c r="F96" s="586" t="s">
        <v>946</v>
      </c>
      <c r="G96" s="586"/>
      <c r="H96" s="560" t="s">
        <v>3</v>
      </c>
      <c r="I96" s="561">
        <v>1.02</v>
      </c>
      <c r="J96" s="562">
        <v>244.98</v>
      </c>
      <c r="K96" s="562">
        <v>249.87</v>
      </c>
    </row>
    <row r="97" spans="2:11" ht="45" x14ac:dyDescent="0.25">
      <c r="B97" s="558" t="s">
        <v>837</v>
      </c>
      <c r="C97" s="559" t="s">
        <v>954</v>
      </c>
      <c r="D97" s="558" t="s">
        <v>561</v>
      </c>
      <c r="E97" s="558" t="s">
        <v>955</v>
      </c>
      <c r="F97" s="586" t="s">
        <v>845</v>
      </c>
      <c r="G97" s="586"/>
      <c r="H97" s="560" t="s">
        <v>2</v>
      </c>
      <c r="I97" s="561">
        <v>2.72</v>
      </c>
      <c r="J97" s="562">
        <v>89.8</v>
      </c>
      <c r="K97" s="562">
        <v>244.25</v>
      </c>
    </row>
    <row r="98" spans="2:11" ht="30" x14ac:dyDescent="0.25">
      <c r="B98" s="558" t="s">
        <v>837</v>
      </c>
      <c r="C98" s="559" t="s">
        <v>956</v>
      </c>
      <c r="D98" s="558" t="s">
        <v>561</v>
      </c>
      <c r="E98" s="558" t="s">
        <v>957</v>
      </c>
      <c r="F98" s="586" t="s">
        <v>845</v>
      </c>
      <c r="G98" s="586"/>
      <c r="H98" s="560" t="s">
        <v>3</v>
      </c>
      <c r="I98" s="561">
        <v>2.38</v>
      </c>
      <c r="J98" s="562">
        <v>272.2</v>
      </c>
      <c r="K98" s="562">
        <v>647.83000000000004</v>
      </c>
    </row>
    <row r="99" spans="2:11" x14ac:dyDescent="0.25">
      <c r="B99" s="563"/>
      <c r="C99" s="563"/>
      <c r="D99" s="563"/>
      <c r="E99" s="563"/>
      <c r="F99" s="563" t="s">
        <v>857</v>
      </c>
      <c r="G99" s="564">
        <v>1854.8899999999999</v>
      </c>
      <c r="H99" s="563" t="s">
        <v>858</v>
      </c>
      <c r="I99" s="564">
        <v>0</v>
      </c>
      <c r="J99" s="563" t="s">
        <v>859</v>
      </c>
      <c r="K99" s="564">
        <v>1854.8899999999999</v>
      </c>
    </row>
    <row r="100" spans="2:11" ht="15.75" thickBot="1" x14ac:dyDescent="0.3">
      <c r="B100" s="563"/>
      <c r="C100" s="563"/>
      <c r="D100" s="563"/>
      <c r="E100" s="563"/>
      <c r="F100" s="563" t="s">
        <v>860</v>
      </c>
      <c r="G100" s="564">
        <v>1082.02</v>
      </c>
      <c r="H100" s="563"/>
      <c r="I100" s="583" t="s">
        <v>861</v>
      </c>
      <c r="J100" s="583"/>
      <c r="K100" s="564">
        <v>6309.18</v>
      </c>
    </row>
    <row r="101" spans="2:11" ht="15.75" thickTop="1" x14ac:dyDescent="0.25">
      <c r="B101" s="565"/>
      <c r="C101" s="565"/>
      <c r="D101" s="565"/>
      <c r="E101" s="565"/>
      <c r="F101" s="565"/>
      <c r="G101" s="565"/>
      <c r="H101" s="565"/>
      <c r="I101" s="565"/>
      <c r="J101" s="565"/>
      <c r="K101" s="565"/>
    </row>
    <row r="102" spans="2:11" x14ac:dyDescent="0.25">
      <c r="B102" s="555" t="s">
        <v>632</v>
      </c>
      <c r="C102" s="556" t="s">
        <v>116</v>
      </c>
      <c r="D102" s="555" t="s">
        <v>117</v>
      </c>
      <c r="E102" s="555" t="s">
        <v>118</v>
      </c>
      <c r="F102" s="584" t="s">
        <v>105</v>
      </c>
      <c r="G102" s="584"/>
      <c r="H102" s="557" t="s">
        <v>119</v>
      </c>
      <c r="I102" s="556" t="s">
        <v>120</v>
      </c>
      <c r="J102" s="556" t="s">
        <v>121</v>
      </c>
      <c r="K102" s="556" t="s">
        <v>0</v>
      </c>
    </row>
    <row r="103" spans="2:11" ht="60" x14ac:dyDescent="0.25">
      <c r="B103" s="549" t="s">
        <v>835</v>
      </c>
      <c r="C103" s="550" t="s">
        <v>1276</v>
      </c>
      <c r="D103" s="549" t="s">
        <v>557</v>
      </c>
      <c r="E103" s="549" t="s">
        <v>634</v>
      </c>
      <c r="F103" s="585" t="s">
        <v>840</v>
      </c>
      <c r="G103" s="585"/>
      <c r="H103" s="551" t="s">
        <v>829</v>
      </c>
      <c r="I103" s="552">
        <v>1</v>
      </c>
      <c r="J103" s="553">
        <v>7988.54</v>
      </c>
      <c r="K103" s="553">
        <v>7988.54</v>
      </c>
    </row>
    <row r="104" spans="2:11" ht="45" x14ac:dyDescent="0.25">
      <c r="B104" s="558" t="s">
        <v>837</v>
      </c>
      <c r="C104" s="559" t="s">
        <v>1031</v>
      </c>
      <c r="D104" s="558" t="s">
        <v>561</v>
      </c>
      <c r="E104" s="558" t="s">
        <v>1032</v>
      </c>
      <c r="F104" s="586" t="s">
        <v>840</v>
      </c>
      <c r="G104" s="586"/>
      <c r="H104" s="560" t="s">
        <v>3</v>
      </c>
      <c r="I104" s="561">
        <v>0.39750000000000002</v>
      </c>
      <c r="J104" s="562">
        <v>525.61</v>
      </c>
      <c r="K104" s="562">
        <v>208.92</v>
      </c>
    </row>
    <row r="105" spans="2:11" ht="45" x14ac:dyDescent="0.25">
      <c r="B105" s="558" t="s">
        <v>837</v>
      </c>
      <c r="C105" s="559" t="s">
        <v>931</v>
      </c>
      <c r="D105" s="558" t="s">
        <v>561</v>
      </c>
      <c r="E105" s="558" t="s">
        <v>932</v>
      </c>
      <c r="F105" s="586" t="s">
        <v>845</v>
      </c>
      <c r="G105" s="586"/>
      <c r="H105" s="560" t="s">
        <v>856</v>
      </c>
      <c r="I105" s="561">
        <v>84</v>
      </c>
      <c r="J105" s="562">
        <v>15.28</v>
      </c>
      <c r="K105" s="562">
        <v>1283.52</v>
      </c>
    </row>
    <row r="106" spans="2:11" ht="45" x14ac:dyDescent="0.25">
      <c r="B106" s="558" t="s">
        <v>837</v>
      </c>
      <c r="C106" s="559" t="s">
        <v>933</v>
      </c>
      <c r="D106" s="558" t="s">
        <v>561</v>
      </c>
      <c r="E106" s="558" t="s">
        <v>934</v>
      </c>
      <c r="F106" s="586" t="s">
        <v>845</v>
      </c>
      <c r="G106" s="586"/>
      <c r="H106" s="560" t="s">
        <v>856</v>
      </c>
      <c r="I106" s="561">
        <v>12</v>
      </c>
      <c r="J106" s="562">
        <v>16.510000000000002</v>
      </c>
      <c r="K106" s="562">
        <v>198.12</v>
      </c>
    </row>
    <row r="107" spans="2:11" ht="45" x14ac:dyDescent="0.25">
      <c r="B107" s="558" t="s">
        <v>837</v>
      </c>
      <c r="C107" s="559" t="s">
        <v>935</v>
      </c>
      <c r="D107" s="558" t="s">
        <v>561</v>
      </c>
      <c r="E107" s="558" t="s">
        <v>936</v>
      </c>
      <c r="F107" s="586" t="s">
        <v>937</v>
      </c>
      <c r="G107" s="586"/>
      <c r="H107" s="560" t="s">
        <v>2</v>
      </c>
      <c r="I107" s="561">
        <v>15.9</v>
      </c>
      <c r="J107" s="562">
        <v>4.54</v>
      </c>
      <c r="K107" s="562">
        <v>72.180000000000007</v>
      </c>
    </row>
    <row r="108" spans="2:11" ht="30" x14ac:dyDescent="0.25">
      <c r="B108" s="558" t="s">
        <v>837</v>
      </c>
      <c r="C108" s="559" t="s">
        <v>938</v>
      </c>
      <c r="D108" s="558" t="s">
        <v>561</v>
      </c>
      <c r="E108" s="558" t="s">
        <v>939</v>
      </c>
      <c r="F108" s="586" t="s">
        <v>845</v>
      </c>
      <c r="G108" s="586"/>
      <c r="H108" s="560" t="s">
        <v>3</v>
      </c>
      <c r="I108" s="561">
        <v>2.86</v>
      </c>
      <c r="J108" s="562">
        <v>426.75</v>
      </c>
      <c r="K108" s="562">
        <v>1220.5</v>
      </c>
    </row>
    <row r="109" spans="2:11" ht="60" x14ac:dyDescent="0.25">
      <c r="B109" s="558" t="s">
        <v>837</v>
      </c>
      <c r="C109" s="559" t="s">
        <v>942</v>
      </c>
      <c r="D109" s="558" t="s">
        <v>561</v>
      </c>
      <c r="E109" s="558" t="s">
        <v>943</v>
      </c>
      <c r="F109" s="586" t="s">
        <v>911</v>
      </c>
      <c r="G109" s="586"/>
      <c r="H109" s="560" t="s">
        <v>912</v>
      </c>
      <c r="I109" s="561">
        <v>0.1</v>
      </c>
      <c r="J109" s="562">
        <v>275.51</v>
      </c>
      <c r="K109" s="562">
        <v>27.55</v>
      </c>
    </row>
    <row r="110" spans="2:11" ht="30" x14ac:dyDescent="0.25">
      <c r="B110" s="558" t="s">
        <v>837</v>
      </c>
      <c r="C110" s="559" t="s">
        <v>947</v>
      </c>
      <c r="D110" s="558" t="s">
        <v>561</v>
      </c>
      <c r="E110" s="558" t="s">
        <v>948</v>
      </c>
      <c r="F110" s="586" t="s">
        <v>946</v>
      </c>
      <c r="G110" s="586"/>
      <c r="H110" s="560" t="s">
        <v>3</v>
      </c>
      <c r="I110" s="561">
        <v>1.7</v>
      </c>
      <c r="J110" s="562">
        <v>79.63</v>
      </c>
      <c r="K110" s="562">
        <v>135.37</v>
      </c>
    </row>
    <row r="111" spans="2:11" ht="30" x14ac:dyDescent="0.25">
      <c r="B111" s="558" t="s">
        <v>837</v>
      </c>
      <c r="C111" s="559" t="s">
        <v>944</v>
      </c>
      <c r="D111" s="558" t="s">
        <v>561</v>
      </c>
      <c r="E111" s="558" t="s">
        <v>945</v>
      </c>
      <c r="F111" s="586" t="s">
        <v>946</v>
      </c>
      <c r="G111" s="586"/>
      <c r="H111" s="560" t="s">
        <v>3</v>
      </c>
      <c r="I111" s="561">
        <v>1.57</v>
      </c>
      <c r="J111" s="562">
        <v>24.47</v>
      </c>
      <c r="K111" s="562">
        <v>38.409999999999997</v>
      </c>
    </row>
    <row r="112" spans="2:11" ht="30" x14ac:dyDescent="0.25">
      <c r="B112" s="558" t="s">
        <v>837</v>
      </c>
      <c r="C112" s="559" t="s">
        <v>1035</v>
      </c>
      <c r="D112" s="558" t="s">
        <v>561</v>
      </c>
      <c r="E112" s="558" t="s">
        <v>1036</v>
      </c>
      <c r="F112" s="586" t="s">
        <v>845</v>
      </c>
      <c r="G112" s="586"/>
      <c r="H112" s="560" t="s">
        <v>2</v>
      </c>
      <c r="I112" s="561">
        <v>3.53</v>
      </c>
      <c r="J112" s="562">
        <v>122.32</v>
      </c>
      <c r="K112" s="562">
        <v>431.78</v>
      </c>
    </row>
    <row r="113" spans="2:11" ht="30" x14ac:dyDescent="0.25">
      <c r="B113" s="558" t="s">
        <v>837</v>
      </c>
      <c r="C113" s="559" t="s">
        <v>940</v>
      </c>
      <c r="D113" s="558" t="s">
        <v>561</v>
      </c>
      <c r="E113" s="558" t="s">
        <v>941</v>
      </c>
      <c r="F113" s="586" t="s">
        <v>845</v>
      </c>
      <c r="G113" s="586"/>
      <c r="H113" s="560" t="s">
        <v>3</v>
      </c>
      <c r="I113" s="561">
        <v>1.05</v>
      </c>
      <c r="J113" s="562">
        <v>468.5</v>
      </c>
      <c r="K113" s="562">
        <v>491.92</v>
      </c>
    </row>
    <row r="114" spans="2:11" ht="45" x14ac:dyDescent="0.25">
      <c r="B114" s="558" t="s">
        <v>837</v>
      </c>
      <c r="C114" s="559" t="s">
        <v>949</v>
      </c>
      <c r="D114" s="558" t="s">
        <v>561</v>
      </c>
      <c r="E114" s="558" t="s">
        <v>950</v>
      </c>
      <c r="F114" s="586" t="s">
        <v>951</v>
      </c>
      <c r="G114" s="586"/>
      <c r="H114" s="560" t="s">
        <v>2</v>
      </c>
      <c r="I114" s="561">
        <v>17.100000000000001</v>
      </c>
      <c r="J114" s="562">
        <v>137.80000000000001</v>
      </c>
      <c r="K114" s="562">
        <v>2356.38</v>
      </c>
    </row>
    <row r="115" spans="2:11" ht="30" x14ac:dyDescent="0.25">
      <c r="B115" s="558" t="s">
        <v>837</v>
      </c>
      <c r="C115" s="559" t="s">
        <v>599</v>
      </c>
      <c r="D115" s="558" t="s">
        <v>561</v>
      </c>
      <c r="E115" s="558" t="s">
        <v>600</v>
      </c>
      <c r="F115" s="586" t="s">
        <v>946</v>
      </c>
      <c r="G115" s="586"/>
      <c r="H115" s="560" t="s">
        <v>2</v>
      </c>
      <c r="I115" s="561">
        <v>12</v>
      </c>
      <c r="J115" s="562">
        <v>5.84</v>
      </c>
      <c r="K115" s="562">
        <v>70.08</v>
      </c>
    </row>
    <row r="116" spans="2:11" ht="45" x14ac:dyDescent="0.25">
      <c r="B116" s="558" t="s">
        <v>837</v>
      </c>
      <c r="C116" s="559" t="s">
        <v>952</v>
      </c>
      <c r="D116" s="558" t="s">
        <v>561</v>
      </c>
      <c r="E116" s="558" t="s">
        <v>953</v>
      </c>
      <c r="F116" s="586" t="s">
        <v>946</v>
      </c>
      <c r="G116" s="586"/>
      <c r="H116" s="560" t="s">
        <v>3</v>
      </c>
      <c r="I116" s="561">
        <v>1.59</v>
      </c>
      <c r="J116" s="562">
        <v>244.98</v>
      </c>
      <c r="K116" s="562">
        <v>389.51</v>
      </c>
    </row>
    <row r="117" spans="2:11" ht="30" x14ac:dyDescent="0.25">
      <c r="B117" s="558" t="s">
        <v>837</v>
      </c>
      <c r="C117" s="559" t="s">
        <v>956</v>
      </c>
      <c r="D117" s="558" t="s">
        <v>561</v>
      </c>
      <c r="E117" s="558" t="s">
        <v>957</v>
      </c>
      <c r="F117" s="586" t="s">
        <v>845</v>
      </c>
      <c r="G117" s="586"/>
      <c r="H117" s="560" t="s">
        <v>3</v>
      </c>
      <c r="I117" s="561">
        <v>3.91</v>
      </c>
      <c r="J117" s="562">
        <v>272.2</v>
      </c>
      <c r="K117" s="562">
        <v>1064.3</v>
      </c>
    </row>
    <row r="118" spans="2:11" x14ac:dyDescent="0.25">
      <c r="B118" s="563"/>
      <c r="C118" s="563"/>
      <c r="D118" s="563"/>
      <c r="E118" s="563"/>
      <c r="F118" s="563" t="s">
        <v>857</v>
      </c>
      <c r="G118" s="564">
        <v>2663.6099999999997</v>
      </c>
      <c r="H118" s="563" t="s">
        <v>858</v>
      </c>
      <c r="I118" s="564">
        <v>0</v>
      </c>
      <c r="J118" s="563" t="s">
        <v>859</v>
      </c>
      <c r="K118" s="564">
        <v>2663.6099999999997</v>
      </c>
    </row>
    <row r="119" spans="2:11" ht="15.75" thickBot="1" x14ac:dyDescent="0.3">
      <c r="B119" s="563"/>
      <c r="C119" s="563"/>
      <c r="D119" s="563"/>
      <c r="E119" s="563"/>
      <c r="F119" s="563" t="s">
        <v>860</v>
      </c>
      <c r="G119" s="564">
        <v>1653.62</v>
      </c>
      <c r="H119" s="563"/>
      <c r="I119" s="583" t="s">
        <v>861</v>
      </c>
      <c r="J119" s="583"/>
      <c r="K119" s="564">
        <v>9642.16</v>
      </c>
    </row>
    <row r="120" spans="2:11" ht="15.75" thickTop="1" x14ac:dyDescent="0.25">
      <c r="B120" s="565"/>
      <c r="C120" s="565"/>
      <c r="D120" s="565"/>
      <c r="E120" s="565"/>
      <c r="F120" s="565"/>
      <c r="G120" s="565"/>
      <c r="H120" s="565"/>
      <c r="I120" s="565"/>
      <c r="J120" s="565"/>
      <c r="K120" s="565"/>
    </row>
    <row r="121" spans="2:11" x14ac:dyDescent="0.25">
      <c r="B121" s="555" t="s">
        <v>641</v>
      </c>
      <c r="C121" s="556" t="s">
        <v>116</v>
      </c>
      <c r="D121" s="555" t="s">
        <v>117</v>
      </c>
      <c r="E121" s="555" t="s">
        <v>118</v>
      </c>
      <c r="F121" s="584" t="s">
        <v>105</v>
      </c>
      <c r="G121" s="584"/>
      <c r="H121" s="557" t="s">
        <v>119</v>
      </c>
      <c r="I121" s="556" t="s">
        <v>120</v>
      </c>
      <c r="J121" s="556" t="s">
        <v>121</v>
      </c>
      <c r="K121" s="556" t="s">
        <v>0</v>
      </c>
    </row>
    <row r="122" spans="2:11" ht="45" x14ac:dyDescent="0.25">
      <c r="B122" s="549" t="s">
        <v>835</v>
      </c>
      <c r="C122" s="550" t="s">
        <v>1256</v>
      </c>
      <c r="D122" s="549" t="s">
        <v>557</v>
      </c>
      <c r="E122" s="549" t="s">
        <v>642</v>
      </c>
      <c r="F122" s="585" t="s">
        <v>958</v>
      </c>
      <c r="G122" s="585"/>
      <c r="H122" s="551" t="s">
        <v>829</v>
      </c>
      <c r="I122" s="552">
        <v>1</v>
      </c>
      <c r="J122" s="553">
        <v>1386.54</v>
      </c>
      <c r="K122" s="553">
        <v>1386.54</v>
      </c>
    </row>
    <row r="123" spans="2:11" ht="45" x14ac:dyDescent="0.25">
      <c r="B123" s="558" t="s">
        <v>837</v>
      </c>
      <c r="C123" s="559" t="s">
        <v>933</v>
      </c>
      <c r="D123" s="558" t="s">
        <v>561</v>
      </c>
      <c r="E123" s="558" t="s">
        <v>934</v>
      </c>
      <c r="F123" s="586" t="s">
        <v>845</v>
      </c>
      <c r="G123" s="586"/>
      <c r="H123" s="560" t="s">
        <v>856</v>
      </c>
      <c r="I123" s="561">
        <v>0.92</v>
      </c>
      <c r="J123" s="562">
        <v>16.510000000000002</v>
      </c>
      <c r="K123" s="562">
        <v>15.18</v>
      </c>
    </row>
    <row r="124" spans="2:11" ht="30" x14ac:dyDescent="0.25">
      <c r="B124" s="558" t="s">
        <v>837</v>
      </c>
      <c r="C124" s="559" t="s">
        <v>940</v>
      </c>
      <c r="D124" s="558" t="s">
        <v>561</v>
      </c>
      <c r="E124" s="558" t="s">
        <v>941</v>
      </c>
      <c r="F124" s="586" t="s">
        <v>845</v>
      </c>
      <c r="G124" s="586"/>
      <c r="H124" s="560" t="s">
        <v>3</v>
      </c>
      <c r="I124" s="561">
        <v>0.72899999999999998</v>
      </c>
      <c r="J124" s="562">
        <v>468.5</v>
      </c>
      <c r="K124" s="562">
        <v>341.53</v>
      </c>
    </row>
    <row r="125" spans="2:11" ht="60" x14ac:dyDescent="0.25">
      <c r="B125" s="558" t="s">
        <v>837</v>
      </c>
      <c r="C125" s="559" t="s">
        <v>942</v>
      </c>
      <c r="D125" s="558" t="s">
        <v>561</v>
      </c>
      <c r="E125" s="558" t="s">
        <v>943</v>
      </c>
      <c r="F125" s="586" t="s">
        <v>911</v>
      </c>
      <c r="G125" s="586"/>
      <c r="H125" s="560" t="s">
        <v>912</v>
      </c>
      <c r="I125" s="561">
        <v>0.1</v>
      </c>
      <c r="J125" s="562">
        <v>275.51</v>
      </c>
      <c r="K125" s="562">
        <v>27.55</v>
      </c>
    </row>
    <row r="126" spans="2:11" ht="45" x14ac:dyDescent="0.25">
      <c r="B126" s="558" t="s">
        <v>837</v>
      </c>
      <c r="C126" s="559" t="s">
        <v>959</v>
      </c>
      <c r="D126" s="558" t="s">
        <v>561</v>
      </c>
      <c r="E126" s="558" t="s">
        <v>960</v>
      </c>
      <c r="F126" s="586" t="s">
        <v>845</v>
      </c>
      <c r="G126" s="586"/>
      <c r="H126" s="560" t="s">
        <v>2</v>
      </c>
      <c r="I126" s="561">
        <v>3.62</v>
      </c>
      <c r="J126" s="562">
        <v>59.72</v>
      </c>
      <c r="K126" s="562">
        <v>216.18</v>
      </c>
    </row>
    <row r="127" spans="2:11" ht="30" x14ac:dyDescent="0.25">
      <c r="B127" s="558" t="s">
        <v>837</v>
      </c>
      <c r="C127" s="559" t="s">
        <v>947</v>
      </c>
      <c r="D127" s="558" t="s">
        <v>561</v>
      </c>
      <c r="E127" s="558" t="s">
        <v>948</v>
      </c>
      <c r="F127" s="586" t="s">
        <v>946</v>
      </c>
      <c r="G127" s="586"/>
      <c r="H127" s="560" t="s">
        <v>3</v>
      </c>
      <c r="I127" s="561">
        <v>0.95</v>
      </c>
      <c r="J127" s="562">
        <v>79.63</v>
      </c>
      <c r="K127" s="562">
        <v>75.64</v>
      </c>
    </row>
    <row r="128" spans="2:11" ht="30" x14ac:dyDescent="0.25">
      <c r="B128" s="558" t="s">
        <v>837</v>
      </c>
      <c r="C128" s="559" t="s">
        <v>801</v>
      </c>
      <c r="D128" s="558" t="s">
        <v>561</v>
      </c>
      <c r="E128" s="558" t="s">
        <v>802</v>
      </c>
      <c r="F128" s="586" t="s">
        <v>915</v>
      </c>
      <c r="G128" s="586"/>
      <c r="H128" s="560" t="s">
        <v>2</v>
      </c>
      <c r="I128" s="561">
        <v>3.31</v>
      </c>
      <c r="J128" s="562">
        <v>21.09</v>
      </c>
      <c r="K128" s="562">
        <v>69.8</v>
      </c>
    </row>
    <row r="129" spans="2:11" ht="30" x14ac:dyDescent="0.25">
      <c r="B129" s="558" t="s">
        <v>837</v>
      </c>
      <c r="C129" s="559" t="s">
        <v>599</v>
      </c>
      <c r="D129" s="558" t="s">
        <v>561</v>
      </c>
      <c r="E129" s="558" t="s">
        <v>600</v>
      </c>
      <c r="F129" s="586" t="s">
        <v>946</v>
      </c>
      <c r="G129" s="586"/>
      <c r="H129" s="560" t="s">
        <v>2</v>
      </c>
      <c r="I129" s="561">
        <v>2.06</v>
      </c>
      <c r="J129" s="562">
        <v>5.84</v>
      </c>
      <c r="K129" s="562">
        <v>12.03</v>
      </c>
    </row>
    <row r="130" spans="2:11" ht="30" x14ac:dyDescent="0.25">
      <c r="B130" s="558" t="s">
        <v>837</v>
      </c>
      <c r="C130" s="559" t="s">
        <v>956</v>
      </c>
      <c r="D130" s="558" t="s">
        <v>561</v>
      </c>
      <c r="E130" s="558" t="s">
        <v>957</v>
      </c>
      <c r="F130" s="586" t="s">
        <v>845</v>
      </c>
      <c r="G130" s="586"/>
      <c r="H130" s="560" t="s">
        <v>3</v>
      </c>
      <c r="I130" s="561">
        <v>0.72899999999999998</v>
      </c>
      <c r="J130" s="562">
        <v>272.2</v>
      </c>
      <c r="K130" s="562">
        <v>198.43</v>
      </c>
    </row>
    <row r="131" spans="2:11" ht="30" x14ac:dyDescent="0.25">
      <c r="B131" s="558" t="s">
        <v>837</v>
      </c>
      <c r="C131" s="559" t="s">
        <v>1259</v>
      </c>
      <c r="D131" s="558" t="s">
        <v>561</v>
      </c>
      <c r="E131" s="558" t="s">
        <v>1260</v>
      </c>
      <c r="F131" s="586" t="s">
        <v>845</v>
      </c>
      <c r="G131" s="586"/>
      <c r="H131" s="560" t="s">
        <v>856</v>
      </c>
      <c r="I131" s="561">
        <v>2.79</v>
      </c>
      <c r="J131" s="562">
        <v>16.05</v>
      </c>
      <c r="K131" s="562">
        <v>44.77</v>
      </c>
    </row>
    <row r="132" spans="2:11" ht="30" x14ac:dyDescent="0.25">
      <c r="B132" s="558" t="s">
        <v>846</v>
      </c>
      <c r="C132" s="559" t="s">
        <v>961</v>
      </c>
      <c r="D132" s="558" t="s">
        <v>561</v>
      </c>
      <c r="E132" s="558" t="s">
        <v>962</v>
      </c>
      <c r="F132" s="586" t="s">
        <v>849</v>
      </c>
      <c r="G132" s="586"/>
      <c r="H132" s="560" t="s">
        <v>833</v>
      </c>
      <c r="I132" s="561">
        <v>1</v>
      </c>
      <c r="J132" s="562">
        <v>385.43</v>
      </c>
      <c r="K132" s="562">
        <v>385.43</v>
      </c>
    </row>
    <row r="133" spans="2:11" x14ac:dyDescent="0.25">
      <c r="B133" s="563"/>
      <c r="C133" s="563"/>
      <c r="D133" s="563"/>
      <c r="E133" s="563"/>
      <c r="F133" s="563" t="s">
        <v>857</v>
      </c>
      <c r="G133" s="564">
        <v>352.37</v>
      </c>
      <c r="H133" s="563" t="s">
        <v>858</v>
      </c>
      <c r="I133" s="564">
        <v>0</v>
      </c>
      <c r="J133" s="563" t="s">
        <v>859</v>
      </c>
      <c r="K133" s="564">
        <v>352.37</v>
      </c>
    </row>
    <row r="134" spans="2:11" ht="15.75" thickBot="1" x14ac:dyDescent="0.3">
      <c r="B134" s="563"/>
      <c r="C134" s="563"/>
      <c r="D134" s="563"/>
      <c r="E134" s="563"/>
      <c r="F134" s="563" t="s">
        <v>860</v>
      </c>
      <c r="G134" s="564">
        <v>287.01</v>
      </c>
      <c r="H134" s="563"/>
      <c r="I134" s="583" t="s">
        <v>861</v>
      </c>
      <c r="J134" s="583"/>
      <c r="K134" s="564">
        <v>1673.55</v>
      </c>
    </row>
    <row r="135" spans="2:11" ht="15.75" thickTop="1" x14ac:dyDescent="0.25">
      <c r="B135" s="565"/>
      <c r="C135" s="565"/>
      <c r="D135" s="565"/>
      <c r="E135" s="565"/>
      <c r="F135" s="565"/>
      <c r="G135" s="565"/>
      <c r="H135" s="565"/>
      <c r="I135" s="565"/>
      <c r="J135" s="565"/>
      <c r="K135" s="565"/>
    </row>
    <row r="136" spans="2:11" x14ac:dyDescent="0.25">
      <c r="B136" s="555" t="s">
        <v>643</v>
      </c>
      <c r="C136" s="556" t="s">
        <v>116</v>
      </c>
      <c r="D136" s="555" t="s">
        <v>117</v>
      </c>
      <c r="E136" s="555" t="s">
        <v>118</v>
      </c>
      <c r="F136" s="584" t="s">
        <v>105</v>
      </c>
      <c r="G136" s="584"/>
      <c r="H136" s="557" t="s">
        <v>119</v>
      </c>
      <c r="I136" s="556" t="s">
        <v>120</v>
      </c>
      <c r="J136" s="556" t="s">
        <v>121</v>
      </c>
      <c r="K136" s="556" t="s">
        <v>0</v>
      </c>
    </row>
    <row r="137" spans="2:11" ht="45" x14ac:dyDescent="0.25">
      <c r="B137" s="549" t="s">
        <v>835</v>
      </c>
      <c r="C137" s="550" t="s">
        <v>1257</v>
      </c>
      <c r="D137" s="549" t="s">
        <v>557</v>
      </c>
      <c r="E137" s="549" t="s">
        <v>1158</v>
      </c>
      <c r="F137" s="585" t="s">
        <v>840</v>
      </c>
      <c r="G137" s="585"/>
      <c r="H137" s="551" t="s">
        <v>829</v>
      </c>
      <c r="I137" s="552">
        <v>1</v>
      </c>
      <c r="J137" s="553">
        <v>2515.19</v>
      </c>
      <c r="K137" s="553">
        <v>2515.19</v>
      </c>
    </row>
    <row r="138" spans="2:11" ht="45" x14ac:dyDescent="0.25">
      <c r="B138" s="558" t="s">
        <v>837</v>
      </c>
      <c r="C138" s="559" t="s">
        <v>1212</v>
      </c>
      <c r="D138" s="558" t="s">
        <v>561</v>
      </c>
      <c r="E138" s="558" t="s">
        <v>1213</v>
      </c>
      <c r="F138" s="586" t="s">
        <v>845</v>
      </c>
      <c r="G138" s="586"/>
      <c r="H138" s="560" t="s">
        <v>856</v>
      </c>
      <c r="I138" s="561">
        <v>1.48</v>
      </c>
      <c r="J138" s="562">
        <v>14.08</v>
      </c>
      <c r="K138" s="562">
        <v>20.83</v>
      </c>
    </row>
    <row r="139" spans="2:11" ht="45" x14ac:dyDescent="0.25">
      <c r="B139" s="558" t="s">
        <v>837</v>
      </c>
      <c r="C139" s="559" t="s">
        <v>933</v>
      </c>
      <c r="D139" s="558" t="s">
        <v>561</v>
      </c>
      <c r="E139" s="558" t="s">
        <v>934</v>
      </c>
      <c r="F139" s="586" t="s">
        <v>845</v>
      </c>
      <c r="G139" s="586"/>
      <c r="H139" s="560" t="s">
        <v>856</v>
      </c>
      <c r="I139" s="561">
        <v>2.5299999999999998</v>
      </c>
      <c r="J139" s="562">
        <v>16.510000000000002</v>
      </c>
      <c r="K139" s="562">
        <v>41.77</v>
      </c>
    </row>
    <row r="140" spans="2:11" ht="30" x14ac:dyDescent="0.25">
      <c r="B140" s="558" t="s">
        <v>837</v>
      </c>
      <c r="C140" s="559" t="s">
        <v>940</v>
      </c>
      <c r="D140" s="558" t="s">
        <v>561</v>
      </c>
      <c r="E140" s="558" t="s">
        <v>941</v>
      </c>
      <c r="F140" s="586" t="s">
        <v>845</v>
      </c>
      <c r="G140" s="586"/>
      <c r="H140" s="560" t="s">
        <v>3</v>
      </c>
      <c r="I140" s="561">
        <v>1.272</v>
      </c>
      <c r="J140" s="562">
        <v>468.5</v>
      </c>
      <c r="K140" s="562">
        <v>595.92999999999995</v>
      </c>
    </row>
    <row r="141" spans="2:11" ht="60" x14ac:dyDescent="0.25">
      <c r="B141" s="558" t="s">
        <v>837</v>
      </c>
      <c r="C141" s="559" t="s">
        <v>942</v>
      </c>
      <c r="D141" s="558" t="s">
        <v>561</v>
      </c>
      <c r="E141" s="558" t="s">
        <v>943</v>
      </c>
      <c r="F141" s="586" t="s">
        <v>911</v>
      </c>
      <c r="G141" s="586"/>
      <c r="H141" s="560" t="s">
        <v>912</v>
      </c>
      <c r="I141" s="561">
        <v>0.1</v>
      </c>
      <c r="J141" s="562">
        <v>275.51</v>
      </c>
      <c r="K141" s="562">
        <v>27.55</v>
      </c>
    </row>
    <row r="142" spans="2:11" ht="45" x14ac:dyDescent="0.25">
      <c r="B142" s="558" t="s">
        <v>837</v>
      </c>
      <c r="C142" s="559" t="s">
        <v>959</v>
      </c>
      <c r="D142" s="558" t="s">
        <v>561</v>
      </c>
      <c r="E142" s="558" t="s">
        <v>960</v>
      </c>
      <c r="F142" s="586" t="s">
        <v>845</v>
      </c>
      <c r="G142" s="586"/>
      <c r="H142" s="560" t="s">
        <v>2</v>
      </c>
      <c r="I142" s="561">
        <v>6.36</v>
      </c>
      <c r="J142" s="562">
        <v>59.72</v>
      </c>
      <c r="K142" s="562">
        <v>379.81</v>
      </c>
    </row>
    <row r="143" spans="2:11" ht="30" x14ac:dyDescent="0.25">
      <c r="B143" s="558" t="s">
        <v>837</v>
      </c>
      <c r="C143" s="559" t="s">
        <v>956</v>
      </c>
      <c r="D143" s="558" t="s">
        <v>561</v>
      </c>
      <c r="E143" s="558" t="s">
        <v>957</v>
      </c>
      <c r="F143" s="586" t="s">
        <v>845</v>
      </c>
      <c r="G143" s="586"/>
      <c r="H143" s="560" t="s">
        <v>3</v>
      </c>
      <c r="I143" s="561">
        <v>1.272</v>
      </c>
      <c r="J143" s="562">
        <v>272.2</v>
      </c>
      <c r="K143" s="562">
        <v>346.23</v>
      </c>
    </row>
    <row r="144" spans="2:11" ht="45" x14ac:dyDescent="0.25">
      <c r="B144" s="558" t="s">
        <v>837</v>
      </c>
      <c r="C144" s="559" t="s">
        <v>931</v>
      </c>
      <c r="D144" s="558" t="s">
        <v>561</v>
      </c>
      <c r="E144" s="558" t="s">
        <v>932</v>
      </c>
      <c r="F144" s="586" t="s">
        <v>845</v>
      </c>
      <c r="G144" s="586"/>
      <c r="H144" s="560" t="s">
        <v>856</v>
      </c>
      <c r="I144" s="561">
        <v>4.41</v>
      </c>
      <c r="J144" s="562">
        <v>15.28</v>
      </c>
      <c r="K144" s="562">
        <v>67.38</v>
      </c>
    </row>
    <row r="145" spans="2:11" ht="30" x14ac:dyDescent="0.25">
      <c r="B145" s="558" t="s">
        <v>837</v>
      </c>
      <c r="C145" s="559" t="s">
        <v>947</v>
      </c>
      <c r="D145" s="558" t="s">
        <v>561</v>
      </c>
      <c r="E145" s="558" t="s">
        <v>948</v>
      </c>
      <c r="F145" s="586" t="s">
        <v>946</v>
      </c>
      <c r="G145" s="586"/>
      <c r="H145" s="560" t="s">
        <v>3</v>
      </c>
      <c r="I145" s="561">
        <v>1.91</v>
      </c>
      <c r="J145" s="562">
        <v>79.63</v>
      </c>
      <c r="K145" s="562">
        <v>152.09</v>
      </c>
    </row>
    <row r="146" spans="2:11" ht="30" x14ac:dyDescent="0.25">
      <c r="B146" s="558" t="s">
        <v>837</v>
      </c>
      <c r="C146" s="559" t="s">
        <v>599</v>
      </c>
      <c r="D146" s="558" t="s">
        <v>561</v>
      </c>
      <c r="E146" s="558" t="s">
        <v>600</v>
      </c>
      <c r="F146" s="586" t="s">
        <v>946</v>
      </c>
      <c r="G146" s="586"/>
      <c r="H146" s="560" t="s">
        <v>2</v>
      </c>
      <c r="I146" s="561">
        <v>3.02</v>
      </c>
      <c r="J146" s="562">
        <v>5.84</v>
      </c>
      <c r="K146" s="562">
        <v>17.63</v>
      </c>
    </row>
    <row r="147" spans="2:11" ht="30" x14ac:dyDescent="0.25">
      <c r="B147" s="558" t="s">
        <v>837</v>
      </c>
      <c r="C147" s="559" t="s">
        <v>801</v>
      </c>
      <c r="D147" s="558" t="s">
        <v>561</v>
      </c>
      <c r="E147" s="558" t="s">
        <v>802</v>
      </c>
      <c r="F147" s="586" t="s">
        <v>915</v>
      </c>
      <c r="G147" s="586"/>
      <c r="H147" s="560" t="s">
        <v>2</v>
      </c>
      <c r="I147" s="561">
        <v>4.51</v>
      </c>
      <c r="J147" s="562">
        <v>21.09</v>
      </c>
      <c r="K147" s="562">
        <v>95.11</v>
      </c>
    </row>
    <row r="148" spans="2:11" ht="30" x14ac:dyDescent="0.25">
      <c r="B148" s="558" t="s">
        <v>846</v>
      </c>
      <c r="C148" s="559" t="s">
        <v>961</v>
      </c>
      <c r="D148" s="558" t="s">
        <v>561</v>
      </c>
      <c r="E148" s="558" t="s">
        <v>962</v>
      </c>
      <c r="F148" s="586" t="s">
        <v>849</v>
      </c>
      <c r="G148" s="586"/>
      <c r="H148" s="560" t="s">
        <v>833</v>
      </c>
      <c r="I148" s="561">
        <v>2</v>
      </c>
      <c r="J148" s="562">
        <v>385.43</v>
      </c>
      <c r="K148" s="562">
        <v>770.86</v>
      </c>
    </row>
    <row r="149" spans="2:11" x14ac:dyDescent="0.25">
      <c r="B149" s="563"/>
      <c r="C149" s="563"/>
      <c r="D149" s="563"/>
      <c r="E149" s="563"/>
      <c r="F149" s="563" t="s">
        <v>857</v>
      </c>
      <c r="G149" s="564">
        <v>620.13</v>
      </c>
      <c r="H149" s="563" t="s">
        <v>858</v>
      </c>
      <c r="I149" s="564">
        <v>0</v>
      </c>
      <c r="J149" s="563" t="s">
        <v>859</v>
      </c>
      <c r="K149" s="564">
        <v>620.13</v>
      </c>
    </row>
    <row r="150" spans="2:11" ht="15.75" thickBot="1" x14ac:dyDescent="0.3">
      <c r="B150" s="563"/>
      <c r="C150" s="563"/>
      <c r="D150" s="563"/>
      <c r="E150" s="563"/>
      <c r="F150" s="563" t="s">
        <v>860</v>
      </c>
      <c r="G150" s="564">
        <v>520.64</v>
      </c>
      <c r="H150" s="563"/>
      <c r="I150" s="583" t="s">
        <v>861</v>
      </c>
      <c r="J150" s="583"/>
      <c r="K150" s="564">
        <v>3035.83</v>
      </c>
    </row>
    <row r="151" spans="2:11" ht="15.75" thickTop="1" x14ac:dyDescent="0.25">
      <c r="B151" s="565"/>
      <c r="C151" s="565"/>
      <c r="D151" s="565"/>
      <c r="E151" s="565"/>
      <c r="F151" s="565"/>
      <c r="G151" s="565"/>
      <c r="H151" s="565"/>
      <c r="I151" s="565"/>
      <c r="J151" s="565"/>
      <c r="K151" s="565"/>
    </row>
    <row r="152" spans="2:11" x14ac:dyDescent="0.25">
      <c r="B152" s="555" t="s">
        <v>1188</v>
      </c>
      <c r="C152" s="556" t="s">
        <v>116</v>
      </c>
      <c r="D152" s="555" t="s">
        <v>117</v>
      </c>
      <c r="E152" s="555" t="s">
        <v>118</v>
      </c>
      <c r="F152" s="584" t="s">
        <v>105</v>
      </c>
      <c r="G152" s="584"/>
      <c r="H152" s="557" t="s">
        <v>119</v>
      </c>
      <c r="I152" s="556" t="s">
        <v>120</v>
      </c>
      <c r="J152" s="556" t="s">
        <v>121</v>
      </c>
      <c r="K152" s="556" t="s">
        <v>0</v>
      </c>
    </row>
    <row r="153" spans="2:11" ht="30" x14ac:dyDescent="0.25">
      <c r="B153" s="549" t="s">
        <v>835</v>
      </c>
      <c r="C153" s="550" t="s">
        <v>1279</v>
      </c>
      <c r="D153" s="549" t="s">
        <v>557</v>
      </c>
      <c r="E153" s="549" t="s">
        <v>1280</v>
      </c>
      <c r="F153" s="585" t="s">
        <v>963</v>
      </c>
      <c r="G153" s="585"/>
      <c r="H153" s="551" t="s">
        <v>2</v>
      </c>
      <c r="I153" s="552">
        <v>1</v>
      </c>
      <c r="J153" s="553">
        <v>5.69</v>
      </c>
      <c r="K153" s="553">
        <v>5.69</v>
      </c>
    </row>
    <row r="154" spans="2:11" ht="60" x14ac:dyDescent="0.25">
      <c r="B154" s="558" t="s">
        <v>837</v>
      </c>
      <c r="C154" s="559" t="s">
        <v>964</v>
      </c>
      <c r="D154" s="558" t="s">
        <v>561</v>
      </c>
      <c r="E154" s="558" t="s">
        <v>965</v>
      </c>
      <c r="F154" s="586" t="s">
        <v>911</v>
      </c>
      <c r="G154" s="586"/>
      <c r="H154" s="560" t="s">
        <v>966</v>
      </c>
      <c r="I154" s="561">
        <v>1E-3</v>
      </c>
      <c r="J154" s="562">
        <v>65.150000000000006</v>
      </c>
      <c r="K154" s="562">
        <v>0.06</v>
      </c>
    </row>
    <row r="155" spans="2:11" ht="60" x14ac:dyDescent="0.25">
      <c r="B155" s="558" t="s">
        <v>837</v>
      </c>
      <c r="C155" s="559" t="s">
        <v>967</v>
      </c>
      <c r="D155" s="558" t="s">
        <v>561</v>
      </c>
      <c r="E155" s="558" t="s">
        <v>968</v>
      </c>
      <c r="F155" s="586" t="s">
        <v>911</v>
      </c>
      <c r="G155" s="586"/>
      <c r="H155" s="560" t="s">
        <v>912</v>
      </c>
      <c r="I155" s="561">
        <v>1E-3</v>
      </c>
      <c r="J155" s="562">
        <v>275.14999999999998</v>
      </c>
      <c r="K155" s="562">
        <v>0.27</v>
      </c>
    </row>
    <row r="156" spans="2:11" ht="30" x14ac:dyDescent="0.25">
      <c r="B156" s="558" t="s">
        <v>837</v>
      </c>
      <c r="C156" s="559" t="s">
        <v>841</v>
      </c>
      <c r="D156" s="558" t="s">
        <v>561</v>
      </c>
      <c r="E156" s="558" t="s">
        <v>842</v>
      </c>
      <c r="F156" s="586" t="s">
        <v>840</v>
      </c>
      <c r="G156" s="586"/>
      <c r="H156" s="560" t="s">
        <v>834</v>
      </c>
      <c r="I156" s="561">
        <v>2E-3</v>
      </c>
      <c r="J156" s="562">
        <v>20.13</v>
      </c>
      <c r="K156" s="562">
        <v>0.04</v>
      </c>
    </row>
    <row r="157" spans="2:11" ht="30" x14ac:dyDescent="0.25">
      <c r="B157" s="558" t="s">
        <v>837</v>
      </c>
      <c r="C157" s="559" t="s">
        <v>969</v>
      </c>
      <c r="D157" s="558" t="s">
        <v>561</v>
      </c>
      <c r="E157" s="558" t="s">
        <v>970</v>
      </c>
      <c r="F157" s="586" t="s">
        <v>911</v>
      </c>
      <c r="G157" s="586"/>
      <c r="H157" s="560" t="s">
        <v>966</v>
      </c>
      <c r="I157" s="561">
        <v>1.4E-3</v>
      </c>
      <c r="J157" s="562">
        <v>44.9</v>
      </c>
      <c r="K157" s="562">
        <v>0.06</v>
      </c>
    </row>
    <row r="158" spans="2:11" ht="30" x14ac:dyDescent="0.25">
      <c r="B158" s="558" t="s">
        <v>837</v>
      </c>
      <c r="C158" s="559" t="s">
        <v>971</v>
      </c>
      <c r="D158" s="558" t="s">
        <v>561</v>
      </c>
      <c r="E158" s="558" t="s">
        <v>972</v>
      </c>
      <c r="F158" s="586" t="s">
        <v>911</v>
      </c>
      <c r="G158" s="586"/>
      <c r="H158" s="560" t="s">
        <v>912</v>
      </c>
      <c r="I158" s="561">
        <v>1.6999999999999999E-3</v>
      </c>
      <c r="J158" s="562">
        <v>128.19</v>
      </c>
      <c r="K158" s="562">
        <v>0.21</v>
      </c>
    </row>
    <row r="159" spans="2:11" ht="30" x14ac:dyDescent="0.25">
      <c r="B159" s="558" t="s">
        <v>837</v>
      </c>
      <c r="C159" s="559" t="s">
        <v>973</v>
      </c>
      <c r="D159" s="558" t="s">
        <v>561</v>
      </c>
      <c r="E159" s="558" t="s">
        <v>974</v>
      </c>
      <c r="F159" s="586" t="s">
        <v>911</v>
      </c>
      <c r="G159" s="586"/>
      <c r="H159" s="560" t="s">
        <v>912</v>
      </c>
      <c r="I159" s="561">
        <v>1.6999999999999999E-3</v>
      </c>
      <c r="J159" s="562">
        <v>9.89</v>
      </c>
      <c r="K159" s="562">
        <v>0.01</v>
      </c>
    </row>
    <row r="160" spans="2:11" x14ac:dyDescent="0.25">
      <c r="B160" s="558" t="s">
        <v>846</v>
      </c>
      <c r="C160" s="559" t="s">
        <v>975</v>
      </c>
      <c r="D160" s="558" t="s">
        <v>557</v>
      </c>
      <c r="E160" s="558" t="s">
        <v>976</v>
      </c>
      <c r="F160" s="586" t="s">
        <v>849</v>
      </c>
      <c r="G160" s="586"/>
      <c r="H160" s="560" t="s">
        <v>977</v>
      </c>
      <c r="I160" s="561">
        <v>1.1999999999999999E-3</v>
      </c>
      <c r="J160" s="562">
        <v>4200</v>
      </c>
      <c r="K160" s="562">
        <v>5.04</v>
      </c>
    </row>
    <row r="161" spans="2:11" x14ac:dyDescent="0.25">
      <c r="B161" s="563"/>
      <c r="C161" s="563"/>
      <c r="D161" s="563"/>
      <c r="E161" s="563"/>
      <c r="F161" s="563" t="s">
        <v>857</v>
      </c>
      <c r="G161" s="564">
        <v>0.1</v>
      </c>
      <c r="H161" s="563" t="s">
        <v>858</v>
      </c>
      <c r="I161" s="564">
        <v>0</v>
      </c>
      <c r="J161" s="563" t="s">
        <v>859</v>
      </c>
      <c r="K161" s="564">
        <v>0.1</v>
      </c>
    </row>
    <row r="162" spans="2:11" ht="15.75" thickBot="1" x14ac:dyDescent="0.3">
      <c r="B162" s="563"/>
      <c r="C162" s="563"/>
      <c r="D162" s="563"/>
      <c r="E162" s="563"/>
      <c r="F162" s="563" t="s">
        <v>860</v>
      </c>
      <c r="G162" s="564">
        <v>1.17</v>
      </c>
      <c r="H162" s="563"/>
      <c r="I162" s="583" t="s">
        <v>861</v>
      </c>
      <c r="J162" s="583"/>
      <c r="K162" s="564">
        <v>6.86</v>
      </c>
    </row>
    <row r="163" spans="2:11" ht="15.75" thickTop="1" x14ac:dyDescent="0.25">
      <c r="B163" s="565"/>
      <c r="C163" s="565"/>
      <c r="D163" s="565"/>
      <c r="E163" s="565"/>
      <c r="F163" s="565"/>
      <c r="G163" s="565"/>
      <c r="H163" s="565"/>
      <c r="I163" s="565"/>
      <c r="J163" s="565"/>
      <c r="K163" s="565"/>
    </row>
    <row r="164" spans="2:11" x14ac:dyDescent="0.25">
      <c r="B164" s="555" t="s">
        <v>1254</v>
      </c>
      <c r="C164" s="556" t="s">
        <v>116</v>
      </c>
      <c r="D164" s="555" t="s">
        <v>117</v>
      </c>
      <c r="E164" s="555" t="s">
        <v>118</v>
      </c>
      <c r="F164" s="584" t="s">
        <v>105</v>
      </c>
      <c r="G164" s="584"/>
      <c r="H164" s="557" t="s">
        <v>119</v>
      </c>
      <c r="I164" s="556" t="s">
        <v>120</v>
      </c>
      <c r="J164" s="556" t="s">
        <v>121</v>
      </c>
      <c r="K164" s="556" t="s">
        <v>0</v>
      </c>
    </row>
    <row r="165" spans="2:11" ht="30" x14ac:dyDescent="0.25">
      <c r="B165" s="549" t="s">
        <v>835</v>
      </c>
      <c r="C165" s="550" t="s">
        <v>1178</v>
      </c>
      <c r="D165" s="549" t="s">
        <v>557</v>
      </c>
      <c r="E165" s="549" t="s">
        <v>1179</v>
      </c>
      <c r="F165" s="585" t="s">
        <v>963</v>
      </c>
      <c r="G165" s="585"/>
      <c r="H165" s="551" t="s">
        <v>977</v>
      </c>
      <c r="I165" s="552">
        <v>1</v>
      </c>
      <c r="J165" s="553">
        <v>46.19</v>
      </c>
      <c r="K165" s="553">
        <v>46.19</v>
      </c>
    </row>
    <row r="166" spans="2:11" ht="60" x14ac:dyDescent="0.25">
      <c r="B166" s="558" t="s">
        <v>837</v>
      </c>
      <c r="C166" s="559" t="s">
        <v>1214</v>
      </c>
      <c r="D166" s="558" t="s">
        <v>561</v>
      </c>
      <c r="E166" s="558" t="s">
        <v>1215</v>
      </c>
      <c r="F166" s="586" t="s">
        <v>911</v>
      </c>
      <c r="G166" s="586"/>
      <c r="H166" s="560" t="s">
        <v>912</v>
      </c>
      <c r="I166" s="561">
        <v>1.8162000000000001E-2</v>
      </c>
      <c r="J166" s="562">
        <v>268.31</v>
      </c>
      <c r="K166" s="562">
        <v>4.87</v>
      </c>
    </row>
    <row r="167" spans="2:11" ht="30" x14ac:dyDescent="0.25">
      <c r="B167" s="558" t="s">
        <v>837</v>
      </c>
      <c r="C167" s="559" t="s">
        <v>1216</v>
      </c>
      <c r="D167" s="558" t="s">
        <v>561</v>
      </c>
      <c r="E167" s="558" t="s">
        <v>1217</v>
      </c>
      <c r="F167" s="586" t="s">
        <v>840</v>
      </c>
      <c r="G167" s="586"/>
      <c r="H167" s="560" t="s">
        <v>834</v>
      </c>
      <c r="I167" s="561">
        <v>0.44234400000000001</v>
      </c>
      <c r="J167" s="562">
        <v>21.69</v>
      </c>
      <c r="K167" s="562">
        <v>9.59</v>
      </c>
    </row>
    <row r="168" spans="2:11" ht="45" x14ac:dyDescent="0.25">
      <c r="B168" s="558" t="s">
        <v>837</v>
      </c>
      <c r="C168" s="559" t="s">
        <v>1218</v>
      </c>
      <c r="D168" s="558" t="s">
        <v>561</v>
      </c>
      <c r="E168" s="558" t="s">
        <v>1219</v>
      </c>
      <c r="F168" s="586" t="s">
        <v>911</v>
      </c>
      <c r="G168" s="586"/>
      <c r="H168" s="560" t="s">
        <v>966</v>
      </c>
      <c r="I168" s="561">
        <v>3.8751000000000001E-2</v>
      </c>
      <c r="J168" s="562">
        <v>92.73</v>
      </c>
      <c r="K168" s="562">
        <v>3.59</v>
      </c>
    </row>
    <row r="169" spans="2:11" ht="45" x14ac:dyDescent="0.25">
      <c r="B169" s="558" t="s">
        <v>837</v>
      </c>
      <c r="C169" s="559" t="s">
        <v>1220</v>
      </c>
      <c r="D169" s="558" t="s">
        <v>561</v>
      </c>
      <c r="E169" s="558" t="s">
        <v>1221</v>
      </c>
      <c r="F169" s="586" t="s">
        <v>911</v>
      </c>
      <c r="G169" s="586"/>
      <c r="H169" s="560" t="s">
        <v>912</v>
      </c>
      <c r="I169" s="561">
        <v>1.6400999999999999E-2</v>
      </c>
      <c r="J169" s="562">
        <v>224.04</v>
      </c>
      <c r="K169" s="562">
        <v>3.67</v>
      </c>
    </row>
    <row r="170" spans="2:11" ht="45" x14ac:dyDescent="0.25">
      <c r="B170" s="558" t="s">
        <v>837</v>
      </c>
      <c r="C170" s="559" t="s">
        <v>1222</v>
      </c>
      <c r="D170" s="558" t="s">
        <v>561</v>
      </c>
      <c r="E170" s="558" t="s">
        <v>1223</v>
      </c>
      <c r="F170" s="586" t="s">
        <v>911</v>
      </c>
      <c r="G170" s="586"/>
      <c r="H170" s="560" t="s">
        <v>966</v>
      </c>
      <c r="I170" s="561">
        <v>2.3758999999999999E-2</v>
      </c>
      <c r="J170" s="562">
        <v>86.1</v>
      </c>
      <c r="K170" s="562">
        <v>2.04</v>
      </c>
    </row>
    <row r="171" spans="2:11" ht="45" x14ac:dyDescent="0.25">
      <c r="B171" s="558" t="s">
        <v>837</v>
      </c>
      <c r="C171" s="559" t="s">
        <v>1224</v>
      </c>
      <c r="D171" s="558" t="s">
        <v>561</v>
      </c>
      <c r="E171" s="558" t="s">
        <v>1225</v>
      </c>
      <c r="F171" s="586" t="s">
        <v>911</v>
      </c>
      <c r="G171" s="586"/>
      <c r="H171" s="560" t="s">
        <v>912</v>
      </c>
      <c r="I171" s="561">
        <v>3.1509000000000002E-2</v>
      </c>
      <c r="J171" s="562">
        <v>236.67</v>
      </c>
      <c r="K171" s="562">
        <v>7.45</v>
      </c>
    </row>
    <row r="172" spans="2:11" ht="30" x14ac:dyDescent="0.25">
      <c r="B172" s="558" t="s">
        <v>837</v>
      </c>
      <c r="C172" s="559" t="s">
        <v>1226</v>
      </c>
      <c r="D172" s="558" t="s">
        <v>561</v>
      </c>
      <c r="E172" s="558" t="s">
        <v>1227</v>
      </c>
      <c r="F172" s="586" t="s">
        <v>911</v>
      </c>
      <c r="G172" s="586"/>
      <c r="H172" s="560" t="s">
        <v>966</v>
      </c>
      <c r="I172" s="561">
        <v>4.1921E-2</v>
      </c>
      <c r="J172" s="562">
        <v>49.64</v>
      </c>
      <c r="K172" s="562">
        <v>2.08</v>
      </c>
    </row>
    <row r="173" spans="2:11" ht="30" x14ac:dyDescent="0.25">
      <c r="B173" s="558" t="s">
        <v>837</v>
      </c>
      <c r="C173" s="559" t="s">
        <v>1228</v>
      </c>
      <c r="D173" s="558" t="s">
        <v>561</v>
      </c>
      <c r="E173" s="558" t="s">
        <v>1229</v>
      </c>
      <c r="F173" s="586" t="s">
        <v>911</v>
      </c>
      <c r="G173" s="586"/>
      <c r="H173" s="560" t="s">
        <v>912</v>
      </c>
      <c r="I173" s="561">
        <v>1.3346999999999999E-2</v>
      </c>
      <c r="J173" s="562">
        <v>137.02000000000001</v>
      </c>
      <c r="K173" s="562">
        <v>1.82</v>
      </c>
    </row>
    <row r="174" spans="2:11" ht="45" x14ac:dyDescent="0.25">
      <c r="B174" s="558" t="s">
        <v>837</v>
      </c>
      <c r="C174" s="559" t="s">
        <v>1230</v>
      </c>
      <c r="D174" s="558" t="s">
        <v>561</v>
      </c>
      <c r="E174" s="558" t="s">
        <v>1231</v>
      </c>
      <c r="F174" s="586" t="s">
        <v>911</v>
      </c>
      <c r="G174" s="586"/>
      <c r="H174" s="560" t="s">
        <v>966</v>
      </c>
      <c r="I174" s="561">
        <v>3.7145999999999998E-2</v>
      </c>
      <c r="J174" s="562">
        <v>130.61000000000001</v>
      </c>
      <c r="K174" s="562">
        <v>4.8499999999999996</v>
      </c>
    </row>
    <row r="175" spans="2:11" ht="45" x14ac:dyDescent="0.25">
      <c r="B175" s="558" t="s">
        <v>837</v>
      </c>
      <c r="C175" s="559" t="s">
        <v>1232</v>
      </c>
      <c r="D175" s="558" t="s">
        <v>561</v>
      </c>
      <c r="E175" s="558" t="s">
        <v>1233</v>
      </c>
      <c r="F175" s="586" t="s">
        <v>911</v>
      </c>
      <c r="G175" s="586"/>
      <c r="H175" s="560" t="s">
        <v>912</v>
      </c>
      <c r="I175" s="561">
        <v>1.8162000000000001E-2</v>
      </c>
      <c r="J175" s="562">
        <v>343.55</v>
      </c>
      <c r="K175" s="562">
        <v>6.23</v>
      </c>
    </row>
    <row r="176" spans="2:11" x14ac:dyDescent="0.25">
      <c r="B176" s="563"/>
      <c r="C176" s="563"/>
      <c r="D176" s="563"/>
      <c r="E176" s="563"/>
      <c r="F176" s="563" t="s">
        <v>857</v>
      </c>
      <c r="G176" s="564">
        <v>10.97</v>
      </c>
      <c r="H176" s="563" t="s">
        <v>858</v>
      </c>
      <c r="I176" s="564">
        <v>0</v>
      </c>
      <c r="J176" s="563" t="s">
        <v>859</v>
      </c>
      <c r="K176" s="564">
        <v>10.97</v>
      </c>
    </row>
    <row r="177" spans="2:11" ht="15.75" thickBot="1" x14ac:dyDescent="0.3">
      <c r="B177" s="563"/>
      <c r="C177" s="563"/>
      <c r="D177" s="563"/>
      <c r="E177" s="563"/>
      <c r="F177" s="563" t="s">
        <v>860</v>
      </c>
      <c r="G177" s="564">
        <v>9.56</v>
      </c>
      <c r="H177" s="563"/>
      <c r="I177" s="583" t="s">
        <v>861</v>
      </c>
      <c r="J177" s="583"/>
      <c r="K177" s="564">
        <v>55.75</v>
      </c>
    </row>
    <row r="178" spans="2:11" ht="15.75" thickTop="1" x14ac:dyDescent="0.25">
      <c r="B178" s="565"/>
      <c r="C178" s="565"/>
      <c r="D178" s="565"/>
      <c r="E178" s="565"/>
      <c r="F178" s="565"/>
      <c r="G178" s="565"/>
      <c r="H178" s="565"/>
      <c r="I178" s="565"/>
      <c r="J178" s="565"/>
      <c r="K178" s="565"/>
    </row>
    <row r="179" spans="2:11" x14ac:dyDescent="0.25">
      <c r="B179" s="555" t="s">
        <v>1282</v>
      </c>
      <c r="C179" s="556" t="s">
        <v>116</v>
      </c>
      <c r="D179" s="555" t="s">
        <v>117</v>
      </c>
      <c r="E179" s="555" t="s">
        <v>118</v>
      </c>
      <c r="F179" s="584" t="s">
        <v>105</v>
      </c>
      <c r="G179" s="584"/>
      <c r="H179" s="557" t="s">
        <v>119</v>
      </c>
      <c r="I179" s="556" t="s">
        <v>120</v>
      </c>
      <c r="J179" s="556" t="s">
        <v>121</v>
      </c>
      <c r="K179" s="556" t="s">
        <v>0</v>
      </c>
    </row>
    <row r="180" spans="2:11" ht="30" x14ac:dyDescent="0.25">
      <c r="B180" s="549" t="s">
        <v>835</v>
      </c>
      <c r="C180" s="550" t="s">
        <v>1283</v>
      </c>
      <c r="D180" s="549" t="s">
        <v>557</v>
      </c>
      <c r="E180" s="549" t="s">
        <v>1284</v>
      </c>
      <c r="F180" s="585" t="s">
        <v>840</v>
      </c>
      <c r="G180" s="585"/>
      <c r="H180" s="551" t="s">
        <v>831</v>
      </c>
      <c r="I180" s="552">
        <v>1</v>
      </c>
      <c r="J180" s="553">
        <v>51.14</v>
      </c>
      <c r="K180" s="553">
        <v>51.14</v>
      </c>
    </row>
    <row r="181" spans="2:11" ht="30" x14ac:dyDescent="0.25">
      <c r="B181" s="558" t="s">
        <v>837</v>
      </c>
      <c r="C181" s="559" t="s">
        <v>1290</v>
      </c>
      <c r="D181" s="558" t="s">
        <v>557</v>
      </c>
      <c r="E181" s="558" t="s">
        <v>1291</v>
      </c>
      <c r="F181" s="586" t="s">
        <v>963</v>
      </c>
      <c r="G181" s="586"/>
      <c r="H181" s="560" t="s">
        <v>831</v>
      </c>
      <c r="I181" s="561">
        <v>1</v>
      </c>
      <c r="J181" s="562">
        <v>3.32</v>
      </c>
      <c r="K181" s="562">
        <v>3.32</v>
      </c>
    </row>
    <row r="182" spans="2:11" ht="30" x14ac:dyDescent="0.25">
      <c r="B182" s="558" t="s">
        <v>837</v>
      </c>
      <c r="C182" s="559" t="s">
        <v>947</v>
      </c>
      <c r="D182" s="558" t="s">
        <v>561</v>
      </c>
      <c r="E182" s="558" t="s">
        <v>948</v>
      </c>
      <c r="F182" s="586" t="s">
        <v>946</v>
      </c>
      <c r="G182" s="586"/>
      <c r="H182" s="560" t="s">
        <v>3</v>
      </c>
      <c r="I182" s="561">
        <v>4.2000000000000003E-2</v>
      </c>
      <c r="J182" s="562">
        <v>79.63</v>
      </c>
      <c r="K182" s="562">
        <v>3.34</v>
      </c>
    </row>
    <row r="183" spans="2:11" ht="30" x14ac:dyDescent="0.25">
      <c r="B183" s="558" t="s">
        <v>837</v>
      </c>
      <c r="C183" s="559" t="s">
        <v>938</v>
      </c>
      <c r="D183" s="558" t="s">
        <v>561</v>
      </c>
      <c r="E183" s="558" t="s">
        <v>939</v>
      </c>
      <c r="F183" s="586" t="s">
        <v>845</v>
      </c>
      <c r="G183" s="586"/>
      <c r="H183" s="560" t="s">
        <v>3</v>
      </c>
      <c r="I183" s="561">
        <v>6.1499999999999999E-2</v>
      </c>
      <c r="J183" s="562">
        <v>426.75</v>
      </c>
      <c r="K183" s="562">
        <v>26.24</v>
      </c>
    </row>
    <row r="184" spans="2:11" ht="30" x14ac:dyDescent="0.25">
      <c r="B184" s="558" t="s">
        <v>837</v>
      </c>
      <c r="C184" s="559" t="s">
        <v>956</v>
      </c>
      <c r="D184" s="558" t="s">
        <v>561</v>
      </c>
      <c r="E184" s="558" t="s">
        <v>957</v>
      </c>
      <c r="F184" s="586" t="s">
        <v>845</v>
      </c>
      <c r="G184" s="586"/>
      <c r="H184" s="560" t="s">
        <v>3</v>
      </c>
      <c r="I184" s="561">
        <v>6.1499999999999999E-2</v>
      </c>
      <c r="J184" s="562">
        <v>272.2</v>
      </c>
      <c r="K184" s="562">
        <v>16.739999999999998</v>
      </c>
    </row>
    <row r="185" spans="2:11" ht="30" x14ac:dyDescent="0.25">
      <c r="B185" s="558" t="s">
        <v>837</v>
      </c>
      <c r="C185" s="559" t="s">
        <v>982</v>
      </c>
      <c r="D185" s="558" t="s">
        <v>561</v>
      </c>
      <c r="E185" s="558" t="s">
        <v>983</v>
      </c>
      <c r="F185" s="586" t="s">
        <v>984</v>
      </c>
      <c r="G185" s="586"/>
      <c r="H185" s="560" t="s">
        <v>831</v>
      </c>
      <c r="I185" s="561">
        <v>1</v>
      </c>
      <c r="J185" s="562">
        <v>1.5</v>
      </c>
      <c r="K185" s="562">
        <v>1.5</v>
      </c>
    </row>
    <row r="186" spans="2:11" x14ac:dyDescent="0.25">
      <c r="B186" s="563"/>
      <c r="C186" s="563"/>
      <c r="D186" s="563"/>
      <c r="E186" s="563"/>
      <c r="F186" s="563" t="s">
        <v>857</v>
      </c>
      <c r="G186" s="564">
        <v>19.760000000000002</v>
      </c>
      <c r="H186" s="563" t="s">
        <v>858</v>
      </c>
      <c r="I186" s="564">
        <v>0</v>
      </c>
      <c r="J186" s="563" t="s">
        <v>859</v>
      </c>
      <c r="K186" s="564">
        <v>19.760000000000002</v>
      </c>
    </row>
    <row r="187" spans="2:11" ht="15.75" thickBot="1" x14ac:dyDescent="0.3">
      <c r="B187" s="563"/>
      <c r="C187" s="563"/>
      <c r="D187" s="563"/>
      <c r="E187" s="563"/>
      <c r="F187" s="563" t="s">
        <v>860</v>
      </c>
      <c r="G187" s="564">
        <v>10.58</v>
      </c>
      <c r="H187" s="563"/>
      <c r="I187" s="583" t="s">
        <v>861</v>
      </c>
      <c r="J187" s="583"/>
      <c r="K187" s="564">
        <v>61.72</v>
      </c>
    </row>
    <row r="188" spans="2:11" ht="15.75" thickTop="1" x14ac:dyDescent="0.25">
      <c r="B188" s="565"/>
      <c r="C188" s="565"/>
      <c r="D188" s="565"/>
      <c r="E188" s="565"/>
      <c r="F188" s="565"/>
      <c r="G188" s="565"/>
      <c r="H188" s="565"/>
      <c r="I188" s="565"/>
      <c r="J188" s="565"/>
      <c r="K188" s="565"/>
    </row>
    <row r="189" spans="2:11" x14ac:dyDescent="0.25">
      <c r="B189" s="555" t="s">
        <v>1285</v>
      </c>
      <c r="C189" s="556" t="s">
        <v>116</v>
      </c>
      <c r="D189" s="555" t="s">
        <v>117</v>
      </c>
      <c r="E189" s="555" t="s">
        <v>118</v>
      </c>
      <c r="F189" s="584" t="s">
        <v>105</v>
      </c>
      <c r="G189" s="584"/>
      <c r="H189" s="557" t="s">
        <v>119</v>
      </c>
      <c r="I189" s="556" t="s">
        <v>120</v>
      </c>
      <c r="J189" s="556" t="s">
        <v>121</v>
      </c>
      <c r="K189" s="556" t="s">
        <v>0</v>
      </c>
    </row>
    <row r="190" spans="2:11" ht="30" x14ac:dyDescent="0.25">
      <c r="B190" s="549" t="s">
        <v>835</v>
      </c>
      <c r="C190" s="550" t="s">
        <v>1258</v>
      </c>
      <c r="D190" s="549" t="s">
        <v>557</v>
      </c>
      <c r="E190" s="549" t="s">
        <v>668</v>
      </c>
      <c r="F190" s="585" t="s">
        <v>840</v>
      </c>
      <c r="G190" s="585"/>
      <c r="H190" s="551" t="s">
        <v>4</v>
      </c>
      <c r="I190" s="552">
        <v>1</v>
      </c>
      <c r="J190" s="553">
        <v>27.7</v>
      </c>
      <c r="K190" s="553">
        <v>27.7</v>
      </c>
    </row>
    <row r="191" spans="2:11" ht="30" x14ac:dyDescent="0.25">
      <c r="B191" s="558" t="s">
        <v>837</v>
      </c>
      <c r="C191" s="559" t="s">
        <v>938</v>
      </c>
      <c r="D191" s="558" t="s">
        <v>561</v>
      </c>
      <c r="E191" s="558" t="s">
        <v>939</v>
      </c>
      <c r="F191" s="586" t="s">
        <v>845</v>
      </c>
      <c r="G191" s="586"/>
      <c r="H191" s="560" t="s">
        <v>3</v>
      </c>
      <c r="I191" s="561">
        <v>3.3000000000000002E-2</v>
      </c>
      <c r="J191" s="562">
        <v>426.75</v>
      </c>
      <c r="K191" s="562">
        <v>14.08</v>
      </c>
    </row>
    <row r="192" spans="2:11" ht="30" x14ac:dyDescent="0.25">
      <c r="B192" s="558" t="s">
        <v>837</v>
      </c>
      <c r="C192" s="559" t="s">
        <v>985</v>
      </c>
      <c r="D192" s="558" t="s">
        <v>557</v>
      </c>
      <c r="E192" s="558" t="s">
        <v>986</v>
      </c>
      <c r="F192" s="586" t="s">
        <v>946</v>
      </c>
      <c r="G192" s="586"/>
      <c r="H192" s="560" t="s">
        <v>3</v>
      </c>
      <c r="I192" s="561">
        <v>3.3000000000000002E-2</v>
      </c>
      <c r="J192" s="562">
        <v>40.26</v>
      </c>
      <c r="K192" s="562">
        <v>1.32</v>
      </c>
    </row>
    <row r="193" spans="2:11" ht="30" x14ac:dyDescent="0.25">
      <c r="B193" s="558" t="s">
        <v>837</v>
      </c>
      <c r="C193" s="559" t="s">
        <v>987</v>
      </c>
      <c r="D193" s="558" t="s">
        <v>557</v>
      </c>
      <c r="E193" s="558" t="s">
        <v>988</v>
      </c>
      <c r="F193" s="586" t="s">
        <v>963</v>
      </c>
      <c r="G193" s="586"/>
      <c r="H193" s="560" t="s">
        <v>4</v>
      </c>
      <c r="I193" s="561">
        <v>1</v>
      </c>
      <c r="J193" s="562">
        <v>3.32</v>
      </c>
      <c r="K193" s="562">
        <v>3.32</v>
      </c>
    </row>
    <row r="194" spans="2:11" ht="30" x14ac:dyDescent="0.25">
      <c r="B194" s="558" t="s">
        <v>837</v>
      </c>
      <c r="C194" s="559" t="s">
        <v>956</v>
      </c>
      <c r="D194" s="558" t="s">
        <v>561</v>
      </c>
      <c r="E194" s="558" t="s">
        <v>957</v>
      </c>
      <c r="F194" s="586" t="s">
        <v>845</v>
      </c>
      <c r="G194" s="586"/>
      <c r="H194" s="560" t="s">
        <v>3</v>
      </c>
      <c r="I194" s="561">
        <v>3.3000000000000002E-2</v>
      </c>
      <c r="J194" s="562">
        <v>272.2</v>
      </c>
      <c r="K194" s="562">
        <v>8.98</v>
      </c>
    </row>
    <row r="195" spans="2:11" x14ac:dyDescent="0.25">
      <c r="B195" s="563"/>
      <c r="C195" s="563"/>
      <c r="D195" s="563"/>
      <c r="E195" s="563"/>
      <c r="F195" s="563" t="s">
        <v>857</v>
      </c>
      <c r="G195" s="564">
        <v>10.33</v>
      </c>
      <c r="H195" s="563" t="s">
        <v>858</v>
      </c>
      <c r="I195" s="564">
        <v>0</v>
      </c>
      <c r="J195" s="563" t="s">
        <v>859</v>
      </c>
      <c r="K195" s="564">
        <v>10.33</v>
      </c>
    </row>
    <row r="196" spans="2:11" ht="15.75" thickBot="1" x14ac:dyDescent="0.3">
      <c r="B196" s="563"/>
      <c r="C196" s="563"/>
      <c r="D196" s="563"/>
      <c r="E196" s="563"/>
      <c r="F196" s="563" t="s">
        <v>860</v>
      </c>
      <c r="G196" s="564">
        <v>5.73</v>
      </c>
      <c r="H196" s="563"/>
      <c r="I196" s="583" t="s">
        <v>861</v>
      </c>
      <c r="J196" s="583"/>
      <c r="K196" s="564">
        <v>33.43</v>
      </c>
    </row>
    <row r="197" spans="2:11" ht="15.75" thickTop="1" x14ac:dyDescent="0.25">
      <c r="B197" s="565"/>
      <c r="C197" s="565"/>
      <c r="D197" s="565"/>
      <c r="E197" s="565"/>
      <c r="F197" s="565"/>
      <c r="G197" s="565"/>
      <c r="H197" s="565"/>
      <c r="I197" s="565"/>
      <c r="J197" s="565"/>
      <c r="K197" s="565"/>
    </row>
    <row r="198" spans="2:11" x14ac:dyDescent="0.25">
      <c r="B198" s="555" t="s">
        <v>1191</v>
      </c>
      <c r="C198" s="556" t="s">
        <v>116</v>
      </c>
      <c r="D198" s="555" t="s">
        <v>117</v>
      </c>
      <c r="E198" s="555" t="s">
        <v>118</v>
      </c>
      <c r="F198" s="584" t="s">
        <v>105</v>
      </c>
      <c r="G198" s="584"/>
      <c r="H198" s="557" t="s">
        <v>119</v>
      </c>
      <c r="I198" s="556" t="s">
        <v>120</v>
      </c>
      <c r="J198" s="556" t="s">
        <v>121</v>
      </c>
      <c r="K198" s="556" t="s">
        <v>0</v>
      </c>
    </row>
    <row r="199" spans="2:11" ht="30" x14ac:dyDescent="0.25">
      <c r="B199" s="549" t="s">
        <v>835</v>
      </c>
      <c r="C199" s="550" t="s">
        <v>1192</v>
      </c>
      <c r="D199" s="549" t="s">
        <v>557</v>
      </c>
      <c r="E199" s="549" t="s">
        <v>1193</v>
      </c>
      <c r="F199" s="585" t="s">
        <v>946</v>
      </c>
      <c r="G199" s="585"/>
      <c r="H199" s="551" t="s">
        <v>2</v>
      </c>
      <c r="I199" s="552">
        <v>1</v>
      </c>
      <c r="J199" s="553">
        <v>6.71</v>
      </c>
      <c r="K199" s="553">
        <v>6.71</v>
      </c>
    </row>
    <row r="200" spans="2:11" ht="30" x14ac:dyDescent="0.25">
      <c r="B200" s="558" t="s">
        <v>837</v>
      </c>
      <c r="C200" s="559" t="s">
        <v>1234</v>
      </c>
      <c r="D200" s="558" t="s">
        <v>561</v>
      </c>
      <c r="E200" s="558" t="s">
        <v>1235</v>
      </c>
      <c r="F200" s="586" t="s">
        <v>911</v>
      </c>
      <c r="G200" s="586"/>
      <c r="H200" s="560" t="s">
        <v>912</v>
      </c>
      <c r="I200" s="561">
        <v>4.8000000000000001E-2</v>
      </c>
      <c r="J200" s="562">
        <v>35.1</v>
      </c>
      <c r="K200" s="562">
        <v>1.68</v>
      </c>
    </row>
    <row r="201" spans="2:11" ht="30" x14ac:dyDescent="0.25">
      <c r="B201" s="558" t="s">
        <v>837</v>
      </c>
      <c r="C201" s="559" t="s">
        <v>841</v>
      </c>
      <c r="D201" s="558" t="s">
        <v>561</v>
      </c>
      <c r="E201" s="558" t="s">
        <v>842</v>
      </c>
      <c r="F201" s="586" t="s">
        <v>840</v>
      </c>
      <c r="G201" s="586"/>
      <c r="H201" s="560" t="s">
        <v>834</v>
      </c>
      <c r="I201" s="561">
        <v>0.25</v>
      </c>
      <c r="J201" s="562">
        <v>20.13</v>
      </c>
      <c r="K201" s="562">
        <v>5.03</v>
      </c>
    </row>
    <row r="202" spans="2:11" x14ac:dyDescent="0.25">
      <c r="B202" s="563"/>
      <c r="C202" s="563"/>
      <c r="D202" s="563"/>
      <c r="E202" s="563"/>
      <c r="F202" s="563" t="s">
        <v>857</v>
      </c>
      <c r="G202" s="564">
        <v>4.49</v>
      </c>
      <c r="H202" s="563" t="s">
        <v>858</v>
      </c>
      <c r="I202" s="564">
        <v>0</v>
      </c>
      <c r="J202" s="563" t="s">
        <v>859</v>
      </c>
      <c r="K202" s="564">
        <v>4.49</v>
      </c>
    </row>
    <row r="203" spans="2:11" ht="15.75" thickBot="1" x14ac:dyDescent="0.3">
      <c r="B203" s="563"/>
      <c r="C203" s="563"/>
      <c r="D203" s="563"/>
      <c r="E203" s="563"/>
      <c r="F203" s="563" t="s">
        <v>860</v>
      </c>
      <c r="G203" s="564">
        <v>1.38</v>
      </c>
      <c r="H203" s="563"/>
      <c r="I203" s="583" t="s">
        <v>861</v>
      </c>
      <c r="J203" s="583"/>
      <c r="K203" s="564">
        <v>8.09</v>
      </c>
    </row>
    <row r="204" spans="2:11" ht="15.75" thickTop="1" x14ac:dyDescent="0.25">
      <c r="B204" s="565"/>
      <c r="C204" s="565"/>
      <c r="D204" s="565"/>
      <c r="E204" s="565"/>
      <c r="F204" s="565"/>
      <c r="G204" s="565"/>
      <c r="H204" s="565"/>
      <c r="I204" s="565"/>
      <c r="J204" s="565"/>
      <c r="K204" s="565"/>
    </row>
    <row r="205" spans="2:11" x14ac:dyDescent="0.25">
      <c r="B205" s="555" t="s">
        <v>1197</v>
      </c>
      <c r="C205" s="556" t="s">
        <v>116</v>
      </c>
      <c r="D205" s="555" t="s">
        <v>117</v>
      </c>
      <c r="E205" s="555" t="s">
        <v>118</v>
      </c>
      <c r="F205" s="584" t="s">
        <v>105</v>
      </c>
      <c r="G205" s="584"/>
      <c r="H205" s="557" t="s">
        <v>119</v>
      </c>
      <c r="I205" s="556" t="s">
        <v>120</v>
      </c>
      <c r="J205" s="556" t="s">
        <v>121</v>
      </c>
      <c r="K205" s="556" t="s">
        <v>0</v>
      </c>
    </row>
    <row r="206" spans="2:11" ht="30" x14ac:dyDescent="0.25">
      <c r="B206" s="549" t="s">
        <v>835</v>
      </c>
      <c r="C206" s="550" t="s">
        <v>1198</v>
      </c>
      <c r="D206" s="549" t="s">
        <v>557</v>
      </c>
      <c r="E206" s="549" t="s">
        <v>1199</v>
      </c>
      <c r="F206" s="585" t="s">
        <v>840</v>
      </c>
      <c r="G206" s="585"/>
      <c r="H206" s="551" t="s">
        <v>3</v>
      </c>
      <c r="I206" s="552">
        <v>1</v>
      </c>
      <c r="J206" s="553">
        <v>157.62</v>
      </c>
      <c r="K206" s="553">
        <v>157.62</v>
      </c>
    </row>
    <row r="207" spans="2:11" ht="45" x14ac:dyDescent="0.25">
      <c r="B207" s="558" t="s">
        <v>837</v>
      </c>
      <c r="C207" s="559" t="s">
        <v>1236</v>
      </c>
      <c r="D207" s="558" t="s">
        <v>561</v>
      </c>
      <c r="E207" s="558" t="s">
        <v>1237</v>
      </c>
      <c r="F207" s="586" t="s">
        <v>911</v>
      </c>
      <c r="G207" s="586"/>
      <c r="H207" s="560" t="s">
        <v>912</v>
      </c>
      <c r="I207" s="561">
        <v>3.5000000000000003E-2</v>
      </c>
      <c r="J207" s="562">
        <v>255.55</v>
      </c>
      <c r="K207" s="562">
        <v>8.94</v>
      </c>
    </row>
    <row r="208" spans="2:11" ht="45" x14ac:dyDescent="0.25">
      <c r="B208" s="558" t="s">
        <v>837</v>
      </c>
      <c r="C208" s="559" t="s">
        <v>996</v>
      </c>
      <c r="D208" s="558" t="s">
        <v>561</v>
      </c>
      <c r="E208" s="558" t="s">
        <v>997</v>
      </c>
      <c r="F208" s="586" t="s">
        <v>911</v>
      </c>
      <c r="G208" s="586"/>
      <c r="H208" s="560" t="s">
        <v>912</v>
      </c>
      <c r="I208" s="561">
        <v>3.5000000000000003E-2</v>
      </c>
      <c r="J208" s="562">
        <v>130.51</v>
      </c>
      <c r="K208" s="562">
        <v>4.5599999999999996</v>
      </c>
    </row>
    <row r="209" spans="2:11" ht="45" x14ac:dyDescent="0.25">
      <c r="B209" s="558" t="s">
        <v>837</v>
      </c>
      <c r="C209" s="559" t="s">
        <v>1238</v>
      </c>
      <c r="D209" s="558" t="s">
        <v>561</v>
      </c>
      <c r="E209" s="558" t="s">
        <v>1239</v>
      </c>
      <c r="F209" s="586" t="s">
        <v>911</v>
      </c>
      <c r="G209" s="586"/>
      <c r="H209" s="560" t="s">
        <v>912</v>
      </c>
      <c r="I209" s="561">
        <v>0.35</v>
      </c>
      <c r="J209" s="562">
        <v>9.1199999999999992</v>
      </c>
      <c r="K209" s="562">
        <v>3.19</v>
      </c>
    </row>
    <row r="210" spans="2:11" ht="30" x14ac:dyDescent="0.25">
      <c r="B210" s="558" t="s">
        <v>837</v>
      </c>
      <c r="C210" s="559" t="s">
        <v>841</v>
      </c>
      <c r="D210" s="558" t="s">
        <v>561</v>
      </c>
      <c r="E210" s="558" t="s">
        <v>842</v>
      </c>
      <c r="F210" s="586" t="s">
        <v>840</v>
      </c>
      <c r="G210" s="586"/>
      <c r="H210" s="560" t="s">
        <v>834</v>
      </c>
      <c r="I210" s="561">
        <v>1.05</v>
      </c>
      <c r="J210" s="562">
        <v>20.13</v>
      </c>
      <c r="K210" s="562">
        <v>21.13</v>
      </c>
    </row>
    <row r="211" spans="2:11" ht="30" x14ac:dyDescent="0.25">
      <c r="B211" s="558" t="s">
        <v>846</v>
      </c>
      <c r="C211" s="559" t="s">
        <v>1240</v>
      </c>
      <c r="D211" s="558" t="s">
        <v>561</v>
      </c>
      <c r="E211" s="558" t="s">
        <v>1241</v>
      </c>
      <c r="F211" s="586" t="s">
        <v>849</v>
      </c>
      <c r="G211" s="586"/>
      <c r="H211" s="560" t="s">
        <v>3</v>
      </c>
      <c r="I211" s="561">
        <v>1.3</v>
      </c>
      <c r="J211" s="562">
        <v>92.16</v>
      </c>
      <c r="K211" s="562">
        <v>119.8</v>
      </c>
    </row>
    <row r="212" spans="2:11" x14ac:dyDescent="0.25">
      <c r="B212" s="563"/>
      <c r="C212" s="563"/>
      <c r="D212" s="563"/>
      <c r="E212" s="563"/>
      <c r="F212" s="563" t="s">
        <v>857</v>
      </c>
      <c r="G212" s="564">
        <v>15.81</v>
      </c>
      <c r="H212" s="563" t="s">
        <v>858</v>
      </c>
      <c r="I212" s="564">
        <v>0</v>
      </c>
      <c r="J212" s="563" t="s">
        <v>859</v>
      </c>
      <c r="K212" s="564">
        <v>15.81</v>
      </c>
    </row>
    <row r="213" spans="2:11" ht="15.75" thickBot="1" x14ac:dyDescent="0.3">
      <c r="B213" s="563"/>
      <c r="C213" s="563"/>
      <c r="D213" s="563"/>
      <c r="E213" s="563"/>
      <c r="F213" s="563" t="s">
        <v>860</v>
      </c>
      <c r="G213" s="564">
        <v>32.619999999999997</v>
      </c>
      <c r="H213" s="563"/>
      <c r="I213" s="583" t="s">
        <v>861</v>
      </c>
      <c r="J213" s="583"/>
      <c r="K213" s="564">
        <v>190.24</v>
      </c>
    </row>
    <row r="214" spans="2:11" ht="15.75" thickTop="1" x14ac:dyDescent="0.25">
      <c r="B214" s="565"/>
      <c r="C214" s="565"/>
      <c r="D214" s="565"/>
      <c r="E214" s="565"/>
      <c r="F214" s="565"/>
      <c r="G214" s="565"/>
      <c r="H214" s="565"/>
      <c r="I214" s="565"/>
      <c r="J214" s="565"/>
      <c r="K214" s="565"/>
    </row>
    <row r="215" spans="2:11" x14ac:dyDescent="0.25">
      <c r="B215" s="555" t="s">
        <v>1204</v>
      </c>
      <c r="C215" s="556" t="s">
        <v>116</v>
      </c>
      <c r="D215" s="555" t="s">
        <v>117</v>
      </c>
      <c r="E215" s="555" t="s">
        <v>118</v>
      </c>
      <c r="F215" s="584" t="s">
        <v>105</v>
      </c>
      <c r="G215" s="584"/>
      <c r="H215" s="557" t="s">
        <v>119</v>
      </c>
      <c r="I215" s="556" t="s">
        <v>120</v>
      </c>
      <c r="J215" s="556" t="s">
        <v>121</v>
      </c>
      <c r="K215" s="556" t="s">
        <v>0</v>
      </c>
    </row>
    <row r="216" spans="2:11" ht="45" x14ac:dyDescent="0.25">
      <c r="B216" s="549" t="s">
        <v>835</v>
      </c>
      <c r="C216" s="550" t="s">
        <v>1205</v>
      </c>
      <c r="D216" s="549" t="s">
        <v>557</v>
      </c>
      <c r="E216" s="549" t="s">
        <v>1206</v>
      </c>
      <c r="F216" s="585" t="s">
        <v>840</v>
      </c>
      <c r="G216" s="585"/>
      <c r="H216" s="551" t="s">
        <v>3</v>
      </c>
      <c r="I216" s="552">
        <v>1</v>
      </c>
      <c r="J216" s="553">
        <v>89.88</v>
      </c>
      <c r="K216" s="553">
        <v>89.88</v>
      </c>
    </row>
    <row r="217" spans="2:11" ht="45" x14ac:dyDescent="0.25">
      <c r="B217" s="558" t="s">
        <v>837</v>
      </c>
      <c r="C217" s="559" t="s">
        <v>1242</v>
      </c>
      <c r="D217" s="558" t="s">
        <v>561</v>
      </c>
      <c r="E217" s="558" t="s">
        <v>1243</v>
      </c>
      <c r="F217" s="586" t="s">
        <v>911</v>
      </c>
      <c r="G217" s="586"/>
      <c r="H217" s="560" t="s">
        <v>966</v>
      </c>
      <c r="I217" s="561">
        <v>0.5</v>
      </c>
      <c r="J217" s="562">
        <v>12.26</v>
      </c>
      <c r="K217" s="562">
        <v>6.13</v>
      </c>
    </row>
    <row r="218" spans="2:11" ht="45" x14ac:dyDescent="0.25">
      <c r="B218" s="558" t="s">
        <v>837</v>
      </c>
      <c r="C218" s="559" t="s">
        <v>1244</v>
      </c>
      <c r="D218" s="558" t="s">
        <v>561</v>
      </c>
      <c r="E218" s="558" t="s">
        <v>1245</v>
      </c>
      <c r="F218" s="586" t="s">
        <v>911</v>
      </c>
      <c r="G218" s="586"/>
      <c r="H218" s="560" t="s">
        <v>912</v>
      </c>
      <c r="I218" s="561">
        <v>0.5</v>
      </c>
      <c r="J218" s="562">
        <v>24.36</v>
      </c>
      <c r="K218" s="562">
        <v>12.18</v>
      </c>
    </row>
    <row r="219" spans="2:11" ht="30" x14ac:dyDescent="0.25">
      <c r="B219" s="558" t="s">
        <v>837</v>
      </c>
      <c r="C219" s="559" t="s">
        <v>841</v>
      </c>
      <c r="D219" s="558" t="s">
        <v>561</v>
      </c>
      <c r="E219" s="558" t="s">
        <v>842</v>
      </c>
      <c r="F219" s="586" t="s">
        <v>840</v>
      </c>
      <c r="G219" s="586"/>
      <c r="H219" s="560" t="s">
        <v>834</v>
      </c>
      <c r="I219" s="561">
        <v>3.5555555000000001</v>
      </c>
      <c r="J219" s="562">
        <v>20.13</v>
      </c>
      <c r="K219" s="562">
        <v>71.569999999999993</v>
      </c>
    </row>
    <row r="220" spans="2:11" x14ac:dyDescent="0.25">
      <c r="B220" s="563"/>
      <c r="C220" s="563"/>
      <c r="D220" s="563"/>
      <c r="E220" s="563"/>
      <c r="F220" s="563" t="s">
        <v>857</v>
      </c>
      <c r="G220" s="564">
        <v>48.81</v>
      </c>
      <c r="H220" s="563" t="s">
        <v>858</v>
      </c>
      <c r="I220" s="564">
        <v>0</v>
      </c>
      <c r="J220" s="563" t="s">
        <v>859</v>
      </c>
      <c r="K220" s="564">
        <v>48.81</v>
      </c>
    </row>
    <row r="221" spans="2:11" ht="15.75" thickBot="1" x14ac:dyDescent="0.3">
      <c r="B221" s="563"/>
      <c r="C221" s="563"/>
      <c r="D221" s="563"/>
      <c r="E221" s="563"/>
      <c r="F221" s="563" t="s">
        <v>860</v>
      </c>
      <c r="G221" s="564">
        <v>18.600000000000001</v>
      </c>
      <c r="H221" s="563"/>
      <c r="I221" s="583" t="s">
        <v>861</v>
      </c>
      <c r="J221" s="583"/>
      <c r="K221" s="564">
        <v>108.48</v>
      </c>
    </row>
    <row r="222" spans="2:11" ht="15.75" thickTop="1" x14ac:dyDescent="0.25">
      <c r="B222" s="565"/>
      <c r="C222" s="565"/>
      <c r="D222" s="565"/>
      <c r="E222" s="565"/>
      <c r="F222" s="565"/>
      <c r="G222" s="565"/>
      <c r="H222" s="565"/>
      <c r="I222" s="565"/>
      <c r="J222" s="565"/>
      <c r="K222" s="565"/>
    </row>
    <row r="223" spans="2:11" x14ac:dyDescent="0.25">
      <c r="B223" s="555" t="s">
        <v>673</v>
      </c>
      <c r="C223" s="556" t="s">
        <v>116</v>
      </c>
      <c r="D223" s="555" t="s">
        <v>117</v>
      </c>
      <c r="E223" s="555" t="s">
        <v>118</v>
      </c>
      <c r="F223" s="584" t="s">
        <v>105</v>
      </c>
      <c r="G223" s="584"/>
      <c r="H223" s="557" t="s">
        <v>119</v>
      </c>
      <c r="I223" s="556" t="s">
        <v>120</v>
      </c>
      <c r="J223" s="556" t="s">
        <v>121</v>
      </c>
      <c r="K223" s="556" t="s">
        <v>0</v>
      </c>
    </row>
    <row r="224" spans="2:11" ht="30" x14ac:dyDescent="0.25">
      <c r="B224" s="549" t="s">
        <v>835</v>
      </c>
      <c r="C224" s="550" t="s">
        <v>674</v>
      </c>
      <c r="D224" s="549" t="s">
        <v>557</v>
      </c>
      <c r="E224" s="549" t="s">
        <v>675</v>
      </c>
      <c r="F224" s="585" t="s">
        <v>946</v>
      </c>
      <c r="G224" s="585"/>
      <c r="H224" s="551" t="s">
        <v>2</v>
      </c>
      <c r="I224" s="552">
        <v>1</v>
      </c>
      <c r="J224" s="553">
        <v>1.21</v>
      </c>
      <c r="K224" s="553">
        <v>1.21</v>
      </c>
    </row>
    <row r="225" spans="2:11" ht="45" x14ac:dyDescent="0.25">
      <c r="B225" s="558" t="s">
        <v>837</v>
      </c>
      <c r="C225" s="559" t="s">
        <v>994</v>
      </c>
      <c r="D225" s="558" t="s">
        <v>561</v>
      </c>
      <c r="E225" s="558" t="s">
        <v>995</v>
      </c>
      <c r="F225" s="586" t="s">
        <v>911</v>
      </c>
      <c r="G225" s="586"/>
      <c r="H225" s="560" t="s">
        <v>966</v>
      </c>
      <c r="I225" s="561">
        <v>4.0000000000000001E-3</v>
      </c>
      <c r="J225" s="562">
        <v>58.09</v>
      </c>
      <c r="K225" s="562">
        <v>0.23</v>
      </c>
    </row>
    <row r="226" spans="2:11" ht="45" x14ac:dyDescent="0.25">
      <c r="B226" s="558" t="s">
        <v>837</v>
      </c>
      <c r="C226" s="559" t="s">
        <v>996</v>
      </c>
      <c r="D226" s="558" t="s">
        <v>561</v>
      </c>
      <c r="E226" s="558" t="s">
        <v>997</v>
      </c>
      <c r="F226" s="586" t="s">
        <v>911</v>
      </c>
      <c r="G226" s="586"/>
      <c r="H226" s="560" t="s">
        <v>912</v>
      </c>
      <c r="I226" s="561">
        <v>6.0000000000000001E-3</v>
      </c>
      <c r="J226" s="562">
        <v>130.51</v>
      </c>
      <c r="K226" s="562">
        <v>0.78</v>
      </c>
    </row>
    <row r="227" spans="2:11" ht="30" x14ac:dyDescent="0.25">
      <c r="B227" s="558" t="s">
        <v>837</v>
      </c>
      <c r="C227" s="559" t="s">
        <v>841</v>
      </c>
      <c r="D227" s="558" t="s">
        <v>561</v>
      </c>
      <c r="E227" s="558" t="s">
        <v>842</v>
      </c>
      <c r="F227" s="586" t="s">
        <v>840</v>
      </c>
      <c r="G227" s="586"/>
      <c r="H227" s="560" t="s">
        <v>834</v>
      </c>
      <c r="I227" s="561">
        <v>0.01</v>
      </c>
      <c r="J227" s="562">
        <v>20.13</v>
      </c>
      <c r="K227" s="562">
        <v>0.2</v>
      </c>
    </row>
    <row r="228" spans="2:11" x14ac:dyDescent="0.25">
      <c r="B228" s="563"/>
      <c r="C228" s="563"/>
      <c r="D228" s="563"/>
      <c r="E228" s="563"/>
      <c r="F228" s="563" t="s">
        <v>857</v>
      </c>
      <c r="G228" s="564">
        <v>0.34</v>
      </c>
      <c r="H228" s="563" t="s">
        <v>858</v>
      </c>
      <c r="I228" s="564">
        <v>0</v>
      </c>
      <c r="J228" s="563" t="s">
        <v>859</v>
      </c>
      <c r="K228" s="564">
        <v>0.34</v>
      </c>
    </row>
    <row r="229" spans="2:11" ht="15.75" thickBot="1" x14ac:dyDescent="0.3">
      <c r="B229" s="563"/>
      <c r="C229" s="563"/>
      <c r="D229" s="563"/>
      <c r="E229" s="563"/>
      <c r="F229" s="563" t="s">
        <v>860</v>
      </c>
      <c r="G229" s="564">
        <v>0.25</v>
      </c>
      <c r="H229" s="563"/>
      <c r="I229" s="583" t="s">
        <v>861</v>
      </c>
      <c r="J229" s="583"/>
      <c r="K229" s="564">
        <v>1.46</v>
      </c>
    </row>
    <row r="230" spans="2:11" ht="15.75" thickTop="1" x14ac:dyDescent="0.25">
      <c r="B230" s="565"/>
      <c r="C230" s="565"/>
      <c r="D230" s="565"/>
      <c r="E230" s="565"/>
      <c r="F230" s="565"/>
      <c r="G230" s="565"/>
      <c r="H230" s="565"/>
      <c r="I230" s="565"/>
      <c r="J230" s="565"/>
      <c r="K230" s="565"/>
    </row>
    <row r="231" spans="2:11" x14ac:dyDescent="0.25">
      <c r="B231" s="555" t="s">
        <v>684</v>
      </c>
      <c r="C231" s="556" t="s">
        <v>116</v>
      </c>
      <c r="D231" s="555" t="s">
        <v>117</v>
      </c>
      <c r="E231" s="555" t="s">
        <v>118</v>
      </c>
      <c r="F231" s="584" t="s">
        <v>105</v>
      </c>
      <c r="G231" s="584"/>
      <c r="H231" s="557" t="s">
        <v>119</v>
      </c>
      <c r="I231" s="556" t="s">
        <v>120</v>
      </c>
      <c r="J231" s="556" t="s">
        <v>121</v>
      </c>
      <c r="K231" s="556" t="s">
        <v>0</v>
      </c>
    </row>
    <row r="232" spans="2:11" ht="75" x14ac:dyDescent="0.25">
      <c r="B232" s="549" t="s">
        <v>835</v>
      </c>
      <c r="C232" s="550" t="s">
        <v>685</v>
      </c>
      <c r="D232" s="549" t="s">
        <v>557</v>
      </c>
      <c r="E232" s="549" t="s">
        <v>686</v>
      </c>
      <c r="F232" s="585" t="s">
        <v>840</v>
      </c>
      <c r="G232" s="585"/>
      <c r="H232" s="551" t="s">
        <v>4</v>
      </c>
      <c r="I232" s="552">
        <v>1</v>
      </c>
      <c r="J232" s="553">
        <v>25.58</v>
      </c>
      <c r="K232" s="553">
        <v>25.58</v>
      </c>
    </row>
    <row r="233" spans="2:11" ht="30" x14ac:dyDescent="0.25">
      <c r="B233" s="558" t="s">
        <v>837</v>
      </c>
      <c r="C233" s="559" t="s">
        <v>978</v>
      </c>
      <c r="D233" s="558" t="s">
        <v>561</v>
      </c>
      <c r="E233" s="558" t="s">
        <v>979</v>
      </c>
      <c r="F233" s="586" t="s">
        <v>840</v>
      </c>
      <c r="G233" s="586"/>
      <c r="H233" s="560" t="s">
        <v>834</v>
      </c>
      <c r="I233" s="561">
        <v>0.152</v>
      </c>
      <c r="J233" s="562">
        <v>24.93</v>
      </c>
      <c r="K233" s="562">
        <v>3.78</v>
      </c>
    </row>
    <row r="234" spans="2:11" ht="30" x14ac:dyDescent="0.25">
      <c r="B234" s="558" t="s">
        <v>837</v>
      </c>
      <c r="C234" s="559" t="s">
        <v>841</v>
      </c>
      <c r="D234" s="558" t="s">
        <v>561</v>
      </c>
      <c r="E234" s="558" t="s">
        <v>842</v>
      </c>
      <c r="F234" s="586" t="s">
        <v>840</v>
      </c>
      <c r="G234" s="586"/>
      <c r="H234" s="560" t="s">
        <v>834</v>
      </c>
      <c r="I234" s="561">
        <v>0.214</v>
      </c>
      <c r="J234" s="562">
        <v>20.13</v>
      </c>
      <c r="K234" s="562">
        <v>4.3</v>
      </c>
    </row>
    <row r="235" spans="2:11" x14ac:dyDescent="0.25">
      <c r="B235" s="558" t="s">
        <v>846</v>
      </c>
      <c r="C235" s="559" t="s">
        <v>998</v>
      </c>
      <c r="D235" s="558" t="s">
        <v>561</v>
      </c>
      <c r="E235" s="558" t="s">
        <v>999</v>
      </c>
      <c r="F235" s="586" t="s">
        <v>849</v>
      </c>
      <c r="G235" s="586"/>
      <c r="H235" s="560" t="s">
        <v>856</v>
      </c>
      <c r="I235" s="561">
        <v>1.125</v>
      </c>
      <c r="J235" s="562">
        <v>0.83</v>
      </c>
      <c r="K235" s="562">
        <v>0.93</v>
      </c>
    </row>
    <row r="236" spans="2:11" ht="30" x14ac:dyDescent="0.25">
      <c r="B236" s="558" t="s">
        <v>846</v>
      </c>
      <c r="C236" s="559" t="s">
        <v>1000</v>
      </c>
      <c r="D236" s="558" t="s">
        <v>561</v>
      </c>
      <c r="E236" s="558" t="s">
        <v>1001</v>
      </c>
      <c r="F236" s="586" t="s">
        <v>1002</v>
      </c>
      <c r="G236" s="586"/>
      <c r="H236" s="560" t="s">
        <v>2</v>
      </c>
      <c r="I236" s="561">
        <v>0.2</v>
      </c>
      <c r="J236" s="562">
        <v>82.88</v>
      </c>
      <c r="K236" s="562">
        <v>16.57</v>
      </c>
    </row>
    <row r="237" spans="2:11" x14ac:dyDescent="0.25">
      <c r="B237" s="563"/>
      <c r="C237" s="563"/>
      <c r="D237" s="563"/>
      <c r="E237" s="563"/>
      <c r="F237" s="563" t="s">
        <v>857</v>
      </c>
      <c r="G237" s="564">
        <v>5.72</v>
      </c>
      <c r="H237" s="563" t="s">
        <v>858</v>
      </c>
      <c r="I237" s="564">
        <v>0</v>
      </c>
      <c r="J237" s="563" t="s">
        <v>859</v>
      </c>
      <c r="K237" s="564">
        <v>5.72</v>
      </c>
    </row>
    <row r="238" spans="2:11" ht="15.75" thickBot="1" x14ac:dyDescent="0.3">
      <c r="B238" s="563"/>
      <c r="C238" s="563"/>
      <c r="D238" s="563"/>
      <c r="E238" s="563"/>
      <c r="F238" s="563" t="s">
        <v>860</v>
      </c>
      <c r="G238" s="564">
        <v>5.29</v>
      </c>
      <c r="H238" s="563"/>
      <c r="I238" s="583" t="s">
        <v>861</v>
      </c>
      <c r="J238" s="583"/>
      <c r="K238" s="564">
        <v>30.87</v>
      </c>
    </row>
    <row r="239" spans="2:11" ht="15.75" thickTop="1" x14ac:dyDescent="0.25">
      <c r="B239" s="565"/>
      <c r="C239" s="565"/>
      <c r="D239" s="565"/>
      <c r="E239" s="565"/>
      <c r="F239" s="565"/>
      <c r="G239" s="565"/>
      <c r="H239" s="565"/>
      <c r="I239" s="565"/>
      <c r="J239" s="565"/>
      <c r="K239" s="565"/>
    </row>
    <row r="240" spans="2:11" x14ac:dyDescent="0.25">
      <c r="B240" s="555" t="s">
        <v>700</v>
      </c>
      <c r="C240" s="556" t="s">
        <v>116</v>
      </c>
      <c r="D240" s="555" t="s">
        <v>117</v>
      </c>
      <c r="E240" s="555" t="s">
        <v>118</v>
      </c>
      <c r="F240" s="584" t="s">
        <v>105</v>
      </c>
      <c r="G240" s="584"/>
      <c r="H240" s="557" t="s">
        <v>119</v>
      </c>
      <c r="I240" s="556" t="s">
        <v>120</v>
      </c>
      <c r="J240" s="556" t="s">
        <v>121</v>
      </c>
      <c r="K240" s="556" t="s">
        <v>0</v>
      </c>
    </row>
    <row r="241" spans="2:11" ht="45" x14ac:dyDescent="0.25">
      <c r="B241" s="549" t="s">
        <v>835</v>
      </c>
      <c r="C241" s="550" t="s">
        <v>701</v>
      </c>
      <c r="D241" s="549" t="s">
        <v>557</v>
      </c>
      <c r="E241" s="549" t="s">
        <v>702</v>
      </c>
      <c r="F241" s="585" t="s">
        <v>840</v>
      </c>
      <c r="G241" s="585"/>
      <c r="H241" s="551" t="s">
        <v>833</v>
      </c>
      <c r="I241" s="552">
        <v>1</v>
      </c>
      <c r="J241" s="553">
        <v>495.59</v>
      </c>
      <c r="K241" s="553">
        <v>495.59</v>
      </c>
    </row>
    <row r="242" spans="2:11" ht="30" x14ac:dyDescent="0.25">
      <c r="B242" s="558" t="s">
        <v>837</v>
      </c>
      <c r="C242" s="559" t="s">
        <v>1003</v>
      </c>
      <c r="D242" s="558" t="s">
        <v>557</v>
      </c>
      <c r="E242" s="558" t="s">
        <v>1004</v>
      </c>
      <c r="F242" s="586" t="s">
        <v>840</v>
      </c>
      <c r="G242" s="586"/>
      <c r="H242" s="560" t="s">
        <v>3</v>
      </c>
      <c r="I242" s="561">
        <v>0.03</v>
      </c>
      <c r="J242" s="562">
        <v>432.97</v>
      </c>
      <c r="K242" s="562">
        <v>12.98</v>
      </c>
    </row>
    <row r="243" spans="2:11" ht="60" x14ac:dyDescent="0.25">
      <c r="B243" s="558" t="s">
        <v>837</v>
      </c>
      <c r="C243" s="559" t="s">
        <v>909</v>
      </c>
      <c r="D243" s="558" t="s">
        <v>561</v>
      </c>
      <c r="E243" s="558" t="s">
        <v>910</v>
      </c>
      <c r="F243" s="586" t="s">
        <v>911</v>
      </c>
      <c r="G243" s="586"/>
      <c r="H243" s="560" t="s">
        <v>912</v>
      </c>
      <c r="I243" s="561">
        <v>0.01</v>
      </c>
      <c r="J243" s="562">
        <v>248.16</v>
      </c>
      <c r="K243" s="562">
        <v>2.48</v>
      </c>
    </row>
    <row r="244" spans="2:11" ht="30" x14ac:dyDescent="0.25">
      <c r="B244" s="558" t="s">
        <v>837</v>
      </c>
      <c r="C244" s="559" t="s">
        <v>978</v>
      </c>
      <c r="D244" s="558" t="s">
        <v>561</v>
      </c>
      <c r="E244" s="558" t="s">
        <v>979</v>
      </c>
      <c r="F244" s="586" t="s">
        <v>840</v>
      </c>
      <c r="G244" s="586"/>
      <c r="H244" s="560" t="s">
        <v>834</v>
      </c>
      <c r="I244" s="561">
        <v>0.2</v>
      </c>
      <c r="J244" s="562">
        <v>24.93</v>
      </c>
      <c r="K244" s="562">
        <v>4.9800000000000004</v>
      </c>
    </row>
    <row r="245" spans="2:11" ht="30" x14ac:dyDescent="0.25">
      <c r="B245" s="558" t="s">
        <v>837</v>
      </c>
      <c r="C245" s="559" t="s">
        <v>841</v>
      </c>
      <c r="D245" s="558" t="s">
        <v>561</v>
      </c>
      <c r="E245" s="558" t="s">
        <v>842</v>
      </c>
      <c r="F245" s="586" t="s">
        <v>840</v>
      </c>
      <c r="G245" s="586"/>
      <c r="H245" s="560" t="s">
        <v>834</v>
      </c>
      <c r="I245" s="561">
        <v>0.2</v>
      </c>
      <c r="J245" s="562">
        <v>20.13</v>
      </c>
      <c r="K245" s="562">
        <v>4.0199999999999996</v>
      </c>
    </row>
    <row r="246" spans="2:11" ht="30" x14ac:dyDescent="0.25">
      <c r="B246" s="558" t="s">
        <v>837</v>
      </c>
      <c r="C246" s="559" t="s">
        <v>947</v>
      </c>
      <c r="D246" s="558" t="s">
        <v>561</v>
      </c>
      <c r="E246" s="558" t="s">
        <v>948</v>
      </c>
      <c r="F246" s="586" t="s">
        <v>946</v>
      </c>
      <c r="G246" s="586"/>
      <c r="H246" s="560" t="s">
        <v>3</v>
      </c>
      <c r="I246" s="561">
        <v>0.03</v>
      </c>
      <c r="J246" s="562">
        <v>79.63</v>
      </c>
      <c r="K246" s="562">
        <v>2.38</v>
      </c>
    </row>
    <row r="247" spans="2:11" ht="30" x14ac:dyDescent="0.25">
      <c r="B247" s="558" t="s">
        <v>837</v>
      </c>
      <c r="C247" s="559" t="s">
        <v>956</v>
      </c>
      <c r="D247" s="558" t="s">
        <v>561</v>
      </c>
      <c r="E247" s="558" t="s">
        <v>957</v>
      </c>
      <c r="F247" s="586" t="s">
        <v>845</v>
      </c>
      <c r="G247" s="586"/>
      <c r="H247" s="560" t="s">
        <v>3</v>
      </c>
      <c r="I247" s="561">
        <v>0.03</v>
      </c>
      <c r="J247" s="562">
        <v>272.2</v>
      </c>
      <c r="K247" s="562">
        <v>8.16</v>
      </c>
    </row>
    <row r="248" spans="2:11" ht="30" x14ac:dyDescent="0.25">
      <c r="B248" s="558" t="s">
        <v>846</v>
      </c>
      <c r="C248" s="559" t="s">
        <v>1005</v>
      </c>
      <c r="D248" s="558" t="s">
        <v>561</v>
      </c>
      <c r="E248" s="558" t="s">
        <v>1006</v>
      </c>
      <c r="F248" s="586" t="s">
        <v>849</v>
      </c>
      <c r="G248" s="586"/>
      <c r="H248" s="560" t="s">
        <v>2</v>
      </c>
      <c r="I248" s="561">
        <v>0.36</v>
      </c>
      <c r="J248" s="562">
        <v>577.5</v>
      </c>
      <c r="K248" s="562">
        <v>207.9</v>
      </c>
    </row>
    <row r="249" spans="2:11" ht="30" x14ac:dyDescent="0.25">
      <c r="B249" s="558" t="s">
        <v>846</v>
      </c>
      <c r="C249" s="559" t="s">
        <v>1007</v>
      </c>
      <c r="D249" s="558" t="s">
        <v>561</v>
      </c>
      <c r="E249" s="558" t="s">
        <v>1008</v>
      </c>
      <c r="F249" s="586" t="s">
        <v>849</v>
      </c>
      <c r="G249" s="586"/>
      <c r="H249" s="560" t="s">
        <v>831</v>
      </c>
      <c r="I249" s="561">
        <v>3</v>
      </c>
      <c r="J249" s="562">
        <v>74.069999999999993</v>
      </c>
      <c r="K249" s="562">
        <v>222.21</v>
      </c>
    </row>
    <row r="250" spans="2:11" x14ac:dyDescent="0.25">
      <c r="B250" s="558" t="s">
        <v>846</v>
      </c>
      <c r="C250" s="559" t="s">
        <v>1009</v>
      </c>
      <c r="D250" s="558" t="s">
        <v>561</v>
      </c>
      <c r="E250" s="558" t="s">
        <v>1010</v>
      </c>
      <c r="F250" s="586" t="s">
        <v>849</v>
      </c>
      <c r="G250" s="586"/>
      <c r="H250" s="560" t="s">
        <v>833</v>
      </c>
      <c r="I250" s="561">
        <v>2</v>
      </c>
      <c r="J250" s="562">
        <v>0.2</v>
      </c>
      <c r="K250" s="562">
        <v>0.4</v>
      </c>
    </row>
    <row r="251" spans="2:11" ht="30" x14ac:dyDescent="0.25">
      <c r="B251" s="558" t="s">
        <v>846</v>
      </c>
      <c r="C251" s="559" t="s">
        <v>1011</v>
      </c>
      <c r="D251" s="558" t="s">
        <v>561</v>
      </c>
      <c r="E251" s="558" t="s">
        <v>1012</v>
      </c>
      <c r="F251" s="586" t="s">
        <v>849</v>
      </c>
      <c r="G251" s="586"/>
      <c r="H251" s="560" t="s">
        <v>833</v>
      </c>
      <c r="I251" s="561">
        <v>2</v>
      </c>
      <c r="J251" s="562">
        <v>1.79</v>
      </c>
      <c r="K251" s="562">
        <v>3.58</v>
      </c>
    </row>
    <row r="252" spans="2:11" ht="30" x14ac:dyDescent="0.25">
      <c r="B252" s="558" t="s">
        <v>846</v>
      </c>
      <c r="C252" s="559" t="s">
        <v>1013</v>
      </c>
      <c r="D252" s="558" t="s">
        <v>561</v>
      </c>
      <c r="E252" s="558" t="s">
        <v>1014</v>
      </c>
      <c r="F252" s="586" t="s">
        <v>849</v>
      </c>
      <c r="G252" s="586"/>
      <c r="H252" s="560" t="s">
        <v>833</v>
      </c>
      <c r="I252" s="561">
        <v>2</v>
      </c>
      <c r="J252" s="562">
        <v>13.25</v>
      </c>
      <c r="K252" s="562">
        <v>26.5</v>
      </c>
    </row>
    <row r="253" spans="2:11" x14ac:dyDescent="0.25">
      <c r="B253" s="563"/>
      <c r="C253" s="563"/>
      <c r="D253" s="563"/>
      <c r="E253" s="563"/>
      <c r="F253" s="563" t="s">
        <v>857</v>
      </c>
      <c r="G253" s="564">
        <v>16.420000000000002</v>
      </c>
      <c r="H253" s="563" t="s">
        <v>858</v>
      </c>
      <c r="I253" s="564">
        <v>0</v>
      </c>
      <c r="J253" s="563" t="s">
        <v>859</v>
      </c>
      <c r="K253" s="564">
        <v>16.420000000000002</v>
      </c>
    </row>
    <row r="254" spans="2:11" ht="15.75" thickBot="1" x14ac:dyDescent="0.3">
      <c r="B254" s="563"/>
      <c r="C254" s="563"/>
      <c r="D254" s="563"/>
      <c r="E254" s="563"/>
      <c r="F254" s="563" t="s">
        <v>860</v>
      </c>
      <c r="G254" s="564">
        <v>102.58</v>
      </c>
      <c r="H254" s="563"/>
      <c r="I254" s="583" t="s">
        <v>861</v>
      </c>
      <c r="J254" s="583"/>
      <c r="K254" s="564">
        <v>598.16999999999996</v>
      </c>
    </row>
    <row r="255" spans="2:11" ht="15.75" thickTop="1" x14ac:dyDescent="0.25">
      <c r="B255" s="565"/>
      <c r="C255" s="565"/>
      <c r="D255" s="565"/>
      <c r="E255" s="565"/>
      <c r="F255" s="565"/>
      <c r="G255" s="565"/>
      <c r="H255" s="565"/>
      <c r="I255" s="565"/>
      <c r="J255" s="565"/>
      <c r="K255" s="565"/>
    </row>
    <row r="256" spans="2:11" x14ac:dyDescent="0.25">
      <c r="B256" s="555" t="s">
        <v>703</v>
      </c>
      <c r="C256" s="556" t="s">
        <v>116</v>
      </c>
      <c r="D256" s="555" t="s">
        <v>117</v>
      </c>
      <c r="E256" s="555" t="s">
        <v>118</v>
      </c>
      <c r="F256" s="584" t="s">
        <v>105</v>
      </c>
      <c r="G256" s="584"/>
      <c r="H256" s="557" t="s">
        <v>119</v>
      </c>
      <c r="I256" s="556" t="s">
        <v>120</v>
      </c>
      <c r="J256" s="556" t="s">
        <v>121</v>
      </c>
      <c r="K256" s="556" t="s">
        <v>0</v>
      </c>
    </row>
    <row r="257" spans="2:11" ht="45" x14ac:dyDescent="0.25">
      <c r="B257" s="549" t="s">
        <v>835</v>
      </c>
      <c r="C257" s="550" t="s">
        <v>1287</v>
      </c>
      <c r="D257" s="549" t="s">
        <v>557</v>
      </c>
      <c r="E257" s="549" t="s">
        <v>1288</v>
      </c>
      <c r="F257" s="585" t="s">
        <v>840</v>
      </c>
      <c r="G257" s="585"/>
      <c r="H257" s="551" t="s">
        <v>829</v>
      </c>
      <c r="I257" s="552">
        <v>1</v>
      </c>
      <c r="J257" s="553">
        <v>430.19</v>
      </c>
      <c r="K257" s="553">
        <v>430.19</v>
      </c>
    </row>
    <row r="258" spans="2:11" ht="30" x14ac:dyDescent="0.25">
      <c r="B258" s="558" t="s">
        <v>837</v>
      </c>
      <c r="C258" s="559" t="s">
        <v>1003</v>
      </c>
      <c r="D258" s="558" t="s">
        <v>557</v>
      </c>
      <c r="E258" s="558" t="s">
        <v>1004</v>
      </c>
      <c r="F258" s="586" t="s">
        <v>840</v>
      </c>
      <c r="G258" s="586"/>
      <c r="H258" s="560" t="s">
        <v>3</v>
      </c>
      <c r="I258" s="561">
        <v>0.03</v>
      </c>
      <c r="J258" s="562">
        <v>432.97</v>
      </c>
      <c r="K258" s="562">
        <v>12.98</v>
      </c>
    </row>
    <row r="259" spans="2:11" ht="30" x14ac:dyDescent="0.25">
      <c r="B259" s="558" t="s">
        <v>837</v>
      </c>
      <c r="C259" s="559" t="s">
        <v>985</v>
      </c>
      <c r="D259" s="558" t="s">
        <v>557</v>
      </c>
      <c r="E259" s="558" t="s">
        <v>986</v>
      </c>
      <c r="F259" s="586" t="s">
        <v>946</v>
      </c>
      <c r="G259" s="586"/>
      <c r="H259" s="560" t="s">
        <v>3</v>
      </c>
      <c r="I259" s="561">
        <v>0.03</v>
      </c>
      <c r="J259" s="562">
        <v>40.26</v>
      </c>
      <c r="K259" s="562">
        <v>1.2</v>
      </c>
    </row>
    <row r="260" spans="2:11" ht="30" x14ac:dyDescent="0.25">
      <c r="B260" s="558" t="s">
        <v>837</v>
      </c>
      <c r="C260" s="559" t="s">
        <v>978</v>
      </c>
      <c r="D260" s="558" t="s">
        <v>561</v>
      </c>
      <c r="E260" s="558" t="s">
        <v>979</v>
      </c>
      <c r="F260" s="586" t="s">
        <v>840</v>
      </c>
      <c r="G260" s="586"/>
      <c r="H260" s="560" t="s">
        <v>834</v>
      </c>
      <c r="I260" s="561">
        <v>0.2</v>
      </c>
      <c r="J260" s="562">
        <v>24.93</v>
      </c>
      <c r="K260" s="562">
        <v>4.9800000000000004</v>
      </c>
    </row>
    <row r="261" spans="2:11" ht="30" x14ac:dyDescent="0.25">
      <c r="B261" s="558" t="s">
        <v>837</v>
      </c>
      <c r="C261" s="559" t="s">
        <v>1292</v>
      </c>
      <c r="D261" s="558" t="s">
        <v>557</v>
      </c>
      <c r="E261" s="558" t="s">
        <v>1293</v>
      </c>
      <c r="F261" s="586" t="s">
        <v>840</v>
      </c>
      <c r="G261" s="586"/>
      <c r="H261" s="560" t="s">
        <v>2</v>
      </c>
      <c r="I261" s="561">
        <v>0.5</v>
      </c>
      <c r="J261" s="562">
        <v>8.9499999999999993</v>
      </c>
      <c r="K261" s="562">
        <v>4.47</v>
      </c>
    </row>
    <row r="262" spans="2:11" ht="30" x14ac:dyDescent="0.25">
      <c r="B262" s="558" t="s">
        <v>837</v>
      </c>
      <c r="C262" s="559" t="s">
        <v>841</v>
      </c>
      <c r="D262" s="558" t="s">
        <v>561</v>
      </c>
      <c r="E262" s="558" t="s">
        <v>842</v>
      </c>
      <c r="F262" s="586" t="s">
        <v>840</v>
      </c>
      <c r="G262" s="586"/>
      <c r="H262" s="560" t="s">
        <v>834</v>
      </c>
      <c r="I262" s="561">
        <v>0.2</v>
      </c>
      <c r="J262" s="562">
        <v>20.13</v>
      </c>
      <c r="K262" s="562">
        <v>4.0199999999999996</v>
      </c>
    </row>
    <row r="263" spans="2:11" ht="30" x14ac:dyDescent="0.25">
      <c r="B263" s="558" t="s">
        <v>837</v>
      </c>
      <c r="C263" s="559" t="s">
        <v>956</v>
      </c>
      <c r="D263" s="558" t="s">
        <v>561</v>
      </c>
      <c r="E263" s="558" t="s">
        <v>957</v>
      </c>
      <c r="F263" s="586" t="s">
        <v>845</v>
      </c>
      <c r="G263" s="586"/>
      <c r="H263" s="560" t="s">
        <v>3</v>
      </c>
      <c r="I263" s="561">
        <v>0.03</v>
      </c>
      <c r="J263" s="562">
        <v>272.2</v>
      </c>
      <c r="K263" s="562">
        <v>8.16</v>
      </c>
    </row>
    <row r="264" spans="2:11" ht="30" x14ac:dyDescent="0.25">
      <c r="B264" s="558" t="s">
        <v>846</v>
      </c>
      <c r="C264" s="559" t="s">
        <v>1294</v>
      </c>
      <c r="D264" s="558" t="s">
        <v>561</v>
      </c>
      <c r="E264" s="558" t="s">
        <v>1295</v>
      </c>
      <c r="F264" s="586" t="s">
        <v>849</v>
      </c>
      <c r="G264" s="586"/>
      <c r="H264" s="560" t="s">
        <v>831</v>
      </c>
      <c r="I264" s="561">
        <v>3.5</v>
      </c>
      <c r="J264" s="562">
        <v>15</v>
      </c>
      <c r="K264" s="562">
        <v>52.5</v>
      </c>
    </row>
    <row r="265" spans="2:11" ht="30" x14ac:dyDescent="0.25">
      <c r="B265" s="558" t="s">
        <v>846</v>
      </c>
      <c r="C265" s="559" t="s">
        <v>1005</v>
      </c>
      <c r="D265" s="558" t="s">
        <v>561</v>
      </c>
      <c r="E265" s="558" t="s">
        <v>1006</v>
      </c>
      <c r="F265" s="586" t="s">
        <v>849</v>
      </c>
      <c r="G265" s="586"/>
      <c r="H265" s="560" t="s">
        <v>2</v>
      </c>
      <c r="I265" s="561">
        <v>0.59199999999999997</v>
      </c>
      <c r="J265" s="562">
        <v>577.5</v>
      </c>
      <c r="K265" s="562">
        <v>341.88</v>
      </c>
    </row>
    <row r="266" spans="2:11" x14ac:dyDescent="0.25">
      <c r="B266" s="563"/>
      <c r="C266" s="563"/>
      <c r="D266" s="563"/>
      <c r="E266" s="563"/>
      <c r="F266" s="563" t="s">
        <v>857</v>
      </c>
      <c r="G266" s="564">
        <v>18.28</v>
      </c>
      <c r="H266" s="563" t="s">
        <v>858</v>
      </c>
      <c r="I266" s="564">
        <v>0</v>
      </c>
      <c r="J266" s="563" t="s">
        <v>859</v>
      </c>
      <c r="K266" s="564">
        <v>18.28</v>
      </c>
    </row>
    <row r="267" spans="2:11" ht="15.75" thickBot="1" x14ac:dyDescent="0.3">
      <c r="B267" s="563"/>
      <c r="C267" s="563"/>
      <c r="D267" s="563"/>
      <c r="E267" s="563"/>
      <c r="F267" s="563" t="s">
        <v>860</v>
      </c>
      <c r="G267" s="564">
        <v>89.04</v>
      </c>
      <c r="H267" s="563"/>
      <c r="I267" s="583" t="s">
        <v>861</v>
      </c>
      <c r="J267" s="583"/>
      <c r="K267" s="564">
        <v>519.23</v>
      </c>
    </row>
    <row r="268" spans="2:11" ht="15.75" thickTop="1" x14ac:dyDescent="0.25">
      <c r="B268" s="565"/>
      <c r="C268" s="565"/>
      <c r="D268" s="565"/>
      <c r="E268" s="565"/>
      <c r="F268" s="565"/>
      <c r="G268" s="565"/>
      <c r="H268" s="565"/>
      <c r="I268" s="565"/>
      <c r="J268" s="565"/>
      <c r="K268" s="565"/>
    </row>
    <row r="269" spans="2:11" x14ac:dyDescent="0.25">
      <c r="B269" s="555" t="s">
        <v>705</v>
      </c>
      <c r="C269" s="556" t="s">
        <v>116</v>
      </c>
      <c r="D269" s="555" t="s">
        <v>117</v>
      </c>
      <c r="E269" s="555" t="s">
        <v>118</v>
      </c>
      <c r="F269" s="584" t="s">
        <v>105</v>
      </c>
      <c r="G269" s="584"/>
      <c r="H269" s="557" t="s">
        <v>119</v>
      </c>
      <c r="I269" s="556" t="s">
        <v>120</v>
      </c>
      <c r="J269" s="556" t="s">
        <v>121</v>
      </c>
      <c r="K269" s="556" t="s">
        <v>0</v>
      </c>
    </row>
    <row r="270" spans="2:11" ht="30" x14ac:dyDescent="0.25">
      <c r="B270" s="549" t="s">
        <v>835</v>
      </c>
      <c r="C270" s="550" t="s">
        <v>704</v>
      </c>
      <c r="D270" s="549" t="s">
        <v>557</v>
      </c>
      <c r="E270" s="549" t="s">
        <v>1317</v>
      </c>
      <c r="F270" s="585" t="s">
        <v>840</v>
      </c>
      <c r="G270" s="585"/>
      <c r="H270" s="551" t="s">
        <v>829</v>
      </c>
      <c r="I270" s="552">
        <v>1</v>
      </c>
      <c r="J270" s="553">
        <v>91.03</v>
      </c>
      <c r="K270" s="553">
        <v>91.03</v>
      </c>
    </row>
    <row r="271" spans="2:11" ht="30" x14ac:dyDescent="0.25">
      <c r="B271" s="558" t="s">
        <v>837</v>
      </c>
      <c r="C271" s="559" t="s">
        <v>841</v>
      </c>
      <c r="D271" s="558" t="s">
        <v>561</v>
      </c>
      <c r="E271" s="558" t="s">
        <v>842</v>
      </c>
      <c r="F271" s="586" t="s">
        <v>840</v>
      </c>
      <c r="G271" s="586"/>
      <c r="H271" s="560" t="s">
        <v>834</v>
      </c>
      <c r="I271" s="561">
        <v>0.4</v>
      </c>
      <c r="J271" s="562">
        <v>20.13</v>
      </c>
      <c r="K271" s="562">
        <v>8.0500000000000007</v>
      </c>
    </row>
    <row r="272" spans="2:11" ht="30" x14ac:dyDescent="0.25">
      <c r="B272" s="558" t="s">
        <v>846</v>
      </c>
      <c r="C272" s="559" t="s">
        <v>1015</v>
      </c>
      <c r="D272" s="558" t="s">
        <v>561</v>
      </c>
      <c r="E272" s="558" t="s">
        <v>1016</v>
      </c>
      <c r="F272" s="586" t="s">
        <v>849</v>
      </c>
      <c r="G272" s="586"/>
      <c r="H272" s="560" t="s">
        <v>833</v>
      </c>
      <c r="I272" s="561">
        <v>4</v>
      </c>
      <c r="J272" s="562">
        <v>0.12</v>
      </c>
      <c r="K272" s="562">
        <v>0.48</v>
      </c>
    </row>
    <row r="273" spans="2:11" ht="30" x14ac:dyDescent="0.25">
      <c r="B273" s="558" t="s">
        <v>846</v>
      </c>
      <c r="C273" s="559" t="s">
        <v>1017</v>
      </c>
      <c r="D273" s="558" t="s">
        <v>561</v>
      </c>
      <c r="E273" s="558" t="s">
        <v>1018</v>
      </c>
      <c r="F273" s="586" t="s">
        <v>849</v>
      </c>
      <c r="G273" s="586"/>
      <c r="H273" s="560" t="s">
        <v>833</v>
      </c>
      <c r="I273" s="561">
        <v>1</v>
      </c>
      <c r="J273" s="562">
        <v>82.5</v>
      </c>
      <c r="K273" s="562">
        <v>82.5</v>
      </c>
    </row>
    <row r="274" spans="2:11" x14ac:dyDescent="0.25">
      <c r="B274" s="563"/>
      <c r="C274" s="563"/>
      <c r="D274" s="563"/>
      <c r="E274" s="563"/>
      <c r="F274" s="563" t="s">
        <v>857</v>
      </c>
      <c r="G274" s="564">
        <v>5.49</v>
      </c>
      <c r="H274" s="563" t="s">
        <v>858</v>
      </c>
      <c r="I274" s="564">
        <v>0</v>
      </c>
      <c r="J274" s="563" t="s">
        <v>859</v>
      </c>
      <c r="K274" s="564">
        <v>5.49</v>
      </c>
    </row>
    <row r="275" spans="2:11" ht="15.75" thickBot="1" x14ac:dyDescent="0.3">
      <c r="B275" s="563"/>
      <c r="C275" s="563"/>
      <c r="D275" s="563"/>
      <c r="E275" s="563"/>
      <c r="F275" s="563" t="s">
        <v>860</v>
      </c>
      <c r="G275" s="564">
        <v>18.84</v>
      </c>
      <c r="H275" s="563"/>
      <c r="I275" s="583" t="s">
        <v>861</v>
      </c>
      <c r="J275" s="583"/>
      <c r="K275" s="564">
        <v>109.87</v>
      </c>
    </row>
    <row r="276" spans="2:11" ht="15.75" thickTop="1" x14ac:dyDescent="0.25">
      <c r="B276" s="565"/>
      <c r="C276" s="565"/>
      <c r="D276" s="565"/>
      <c r="E276" s="565"/>
      <c r="F276" s="565"/>
      <c r="G276" s="565"/>
      <c r="H276" s="565"/>
      <c r="I276" s="565"/>
      <c r="J276" s="565"/>
      <c r="K276" s="565"/>
    </row>
    <row r="277" spans="2:11" x14ac:dyDescent="0.25">
      <c r="B277" s="555" t="s">
        <v>1211</v>
      </c>
      <c r="C277" s="556" t="s">
        <v>116</v>
      </c>
      <c r="D277" s="555" t="s">
        <v>117</v>
      </c>
      <c r="E277" s="555" t="s">
        <v>118</v>
      </c>
      <c r="F277" s="584" t="s">
        <v>105</v>
      </c>
      <c r="G277" s="584"/>
      <c r="H277" s="557" t="s">
        <v>119</v>
      </c>
      <c r="I277" s="556" t="s">
        <v>120</v>
      </c>
      <c r="J277" s="556" t="s">
        <v>121</v>
      </c>
      <c r="K277" s="556" t="s">
        <v>0</v>
      </c>
    </row>
    <row r="278" spans="2:11" ht="30" x14ac:dyDescent="0.25">
      <c r="B278" s="549" t="s">
        <v>835</v>
      </c>
      <c r="C278" s="550" t="s">
        <v>706</v>
      </c>
      <c r="D278" s="549" t="s">
        <v>557</v>
      </c>
      <c r="E278" s="549" t="s">
        <v>707</v>
      </c>
      <c r="F278" s="585" t="s">
        <v>840</v>
      </c>
      <c r="G278" s="585"/>
      <c r="H278" s="551" t="s">
        <v>829</v>
      </c>
      <c r="I278" s="552">
        <v>1</v>
      </c>
      <c r="J278" s="553">
        <v>282.52999999999997</v>
      </c>
      <c r="K278" s="553">
        <v>282.52999999999997</v>
      </c>
    </row>
    <row r="279" spans="2:11" ht="30" x14ac:dyDescent="0.25">
      <c r="B279" s="558" t="s">
        <v>837</v>
      </c>
      <c r="C279" s="559" t="s">
        <v>841</v>
      </c>
      <c r="D279" s="558" t="s">
        <v>561</v>
      </c>
      <c r="E279" s="558" t="s">
        <v>842</v>
      </c>
      <c r="F279" s="586" t="s">
        <v>840</v>
      </c>
      <c r="G279" s="586"/>
      <c r="H279" s="560" t="s">
        <v>834</v>
      </c>
      <c r="I279" s="561">
        <v>0.5</v>
      </c>
      <c r="J279" s="562">
        <v>20.13</v>
      </c>
      <c r="K279" s="562">
        <v>10.06</v>
      </c>
    </row>
    <row r="280" spans="2:11" ht="30" x14ac:dyDescent="0.25">
      <c r="B280" s="558" t="s">
        <v>837</v>
      </c>
      <c r="C280" s="559" t="s">
        <v>947</v>
      </c>
      <c r="D280" s="558" t="s">
        <v>561</v>
      </c>
      <c r="E280" s="558" t="s">
        <v>948</v>
      </c>
      <c r="F280" s="586" t="s">
        <v>946</v>
      </c>
      <c r="G280" s="586"/>
      <c r="H280" s="560" t="s">
        <v>3</v>
      </c>
      <c r="I280" s="561">
        <v>3.2000000000000001E-2</v>
      </c>
      <c r="J280" s="562">
        <v>79.63</v>
      </c>
      <c r="K280" s="562">
        <v>2.54</v>
      </c>
    </row>
    <row r="281" spans="2:11" ht="30" x14ac:dyDescent="0.25">
      <c r="B281" s="558" t="s">
        <v>837</v>
      </c>
      <c r="C281" s="559" t="s">
        <v>1019</v>
      </c>
      <c r="D281" s="558" t="s">
        <v>561</v>
      </c>
      <c r="E281" s="558" t="s">
        <v>1020</v>
      </c>
      <c r="F281" s="586" t="s">
        <v>840</v>
      </c>
      <c r="G281" s="586"/>
      <c r="H281" s="560" t="s">
        <v>3</v>
      </c>
      <c r="I281" s="561">
        <v>3.2000000000000001E-2</v>
      </c>
      <c r="J281" s="562">
        <v>556.39</v>
      </c>
      <c r="K281" s="562">
        <v>17.8</v>
      </c>
    </row>
    <row r="282" spans="2:11" ht="30" x14ac:dyDescent="0.25">
      <c r="B282" s="558" t="s">
        <v>846</v>
      </c>
      <c r="C282" s="559" t="s">
        <v>1007</v>
      </c>
      <c r="D282" s="558" t="s">
        <v>561</v>
      </c>
      <c r="E282" s="558" t="s">
        <v>1008</v>
      </c>
      <c r="F282" s="586" t="s">
        <v>849</v>
      </c>
      <c r="G282" s="586"/>
      <c r="H282" s="560" t="s">
        <v>831</v>
      </c>
      <c r="I282" s="561">
        <v>3</v>
      </c>
      <c r="J282" s="562">
        <v>74.069999999999993</v>
      </c>
      <c r="K282" s="562">
        <v>222.21</v>
      </c>
    </row>
    <row r="283" spans="2:11" ht="30" x14ac:dyDescent="0.25">
      <c r="B283" s="558" t="s">
        <v>846</v>
      </c>
      <c r="C283" s="559" t="s">
        <v>1021</v>
      </c>
      <c r="D283" s="558" t="s">
        <v>561</v>
      </c>
      <c r="E283" s="558" t="s">
        <v>1022</v>
      </c>
      <c r="F283" s="586" t="s">
        <v>849</v>
      </c>
      <c r="G283" s="586"/>
      <c r="H283" s="560" t="s">
        <v>833</v>
      </c>
      <c r="I283" s="561">
        <v>4</v>
      </c>
      <c r="J283" s="562">
        <v>0.31</v>
      </c>
      <c r="K283" s="562">
        <v>1.24</v>
      </c>
    </row>
    <row r="284" spans="2:11" x14ac:dyDescent="0.25">
      <c r="B284" s="558" t="s">
        <v>846</v>
      </c>
      <c r="C284" s="559" t="s">
        <v>1023</v>
      </c>
      <c r="D284" s="558" t="s">
        <v>561</v>
      </c>
      <c r="E284" s="558" t="s">
        <v>1024</v>
      </c>
      <c r="F284" s="586" t="s">
        <v>849</v>
      </c>
      <c r="G284" s="586"/>
      <c r="H284" s="560" t="s">
        <v>833</v>
      </c>
      <c r="I284" s="561">
        <v>4</v>
      </c>
      <c r="J284" s="562">
        <v>0.42</v>
      </c>
      <c r="K284" s="562">
        <v>1.68</v>
      </c>
    </row>
    <row r="285" spans="2:11" x14ac:dyDescent="0.25">
      <c r="B285" s="558" t="s">
        <v>846</v>
      </c>
      <c r="C285" s="559" t="s">
        <v>1025</v>
      </c>
      <c r="D285" s="558" t="s">
        <v>561</v>
      </c>
      <c r="E285" s="558" t="s">
        <v>1026</v>
      </c>
      <c r="F285" s="586" t="s">
        <v>849</v>
      </c>
      <c r="G285" s="586"/>
      <c r="H285" s="560" t="s">
        <v>833</v>
      </c>
      <c r="I285" s="561">
        <v>8</v>
      </c>
      <c r="J285" s="562">
        <v>1.45</v>
      </c>
      <c r="K285" s="562">
        <v>11.6</v>
      </c>
    </row>
    <row r="286" spans="2:11" ht="30" x14ac:dyDescent="0.25">
      <c r="B286" s="558" t="s">
        <v>846</v>
      </c>
      <c r="C286" s="559" t="s">
        <v>1027</v>
      </c>
      <c r="D286" s="558" t="s">
        <v>561</v>
      </c>
      <c r="E286" s="558" t="s">
        <v>1028</v>
      </c>
      <c r="F286" s="586" t="s">
        <v>849</v>
      </c>
      <c r="G286" s="586"/>
      <c r="H286" s="560" t="s">
        <v>831</v>
      </c>
      <c r="I286" s="561">
        <v>0.5</v>
      </c>
      <c r="J286" s="562">
        <v>10.210000000000001</v>
      </c>
      <c r="K286" s="562">
        <v>5.0999999999999996</v>
      </c>
    </row>
    <row r="287" spans="2:11" x14ac:dyDescent="0.25">
      <c r="B287" s="558" t="s">
        <v>846</v>
      </c>
      <c r="C287" s="559" t="s">
        <v>1023</v>
      </c>
      <c r="D287" s="558" t="s">
        <v>561</v>
      </c>
      <c r="E287" s="558" t="s">
        <v>1024</v>
      </c>
      <c r="F287" s="586" t="s">
        <v>849</v>
      </c>
      <c r="G287" s="586"/>
      <c r="H287" s="560" t="s">
        <v>833</v>
      </c>
      <c r="I287" s="561">
        <v>4</v>
      </c>
      <c r="J287" s="562">
        <v>0.42</v>
      </c>
      <c r="K287" s="562">
        <v>1.68</v>
      </c>
    </row>
    <row r="288" spans="2:11" x14ac:dyDescent="0.25">
      <c r="B288" s="558" t="s">
        <v>846</v>
      </c>
      <c r="C288" s="559" t="s">
        <v>1029</v>
      </c>
      <c r="D288" s="558" t="s">
        <v>561</v>
      </c>
      <c r="E288" s="558" t="s">
        <v>1030</v>
      </c>
      <c r="F288" s="586" t="s">
        <v>849</v>
      </c>
      <c r="G288" s="586"/>
      <c r="H288" s="560" t="s">
        <v>833</v>
      </c>
      <c r="I288" s="561">
        <v>8</v>
      </c>
      <c r="J288" s="562">
        <v>0.44</v>
      </c>
      <c r="K288" s="562">
        <v>3.52</v>
      </c>
    </row>
    <row r="289" spans="2:11" ht="30" x14ac:dyDescent="0.25">
      <c r="B289" s="558" t="s">
        <v>846</v>
      </c>
      <c r="C289" s="559" t="s">
        <v>1027</v>
      </c>
      <c r="D289" s="558" t="s">
        <v>561</v>
      </c>
      <c r="E289" s="558" t="s">
        <v>1028</v>
      </c>
      <c r="F289" s="586" t="s">
        <v>849</v>
      </c>
      <c r="G289" s="586"/>
      <c r="H289" s="560" t="s">
        <v>831</v>
      </c>
      <c r="I289" s="561">
        <v>0.5</v>
      </c>
      <c r="J289" s="562">
        <v>10.210000000000001</v>
      </c>
      <c r="K289" s="562">
        <v>5.0999999999999996</v>
      </c>
    </row>
    <row r="290" spans="2:11" x14ac:dyDescent="0.25">
      <c r="B290" s="563"/>
      <c r="C290" s="563"/>
      <c r="D290" s="563"/>
      <c r="E290" s="563"/>
      <c r="F290" s="563" t="s">
        <v>857</v>
      </c>
      <c r="G290" s="564">
        <v>10.71</v>
      </c>
      <c r="H290" s="563" t="s">
        <v>858</v>
      </c>
      <c r="I290" s="564">
        <v>0</v>
      </c>
      <c r="J290" s="563" t="s">
        <v>859</v>
      </c>
      <c r="K290" s="564">
        <v>10.71</v>
      </c>
    </row>
    <row r="291" spans="2:11" ht="15.75" thickBot="1" x14ac:dyDescent="0.3">
      <c r="B291" s="563"/>
      <c r="C291" s="563"/>
      <c r="D291" s="563"/>
      <c r="E291" s="563"/>
      <c r="F291" s="563" t="s">
        <v>860</v>
      </c>
      <c r="G291" s="564">
        <v>58.48</v>
      </c>
      <c r="H291" s="563"/>
      <c r="I291" s="583" t="s">
        <v>861</v>
      </c>
      <c r="J291" s="583"/>
      <c r="K291" s="564">
        <v>341.01</v>
      </c>
    </row>
    <row r="292" spans="2:11" ht="15.75" thickTop="1" x14ac:dyDescent="0.25">
      <c r="B292" s="565"/>
      <c r="C292" s="565"/>
      <c r="D292" s="565"/>
      <c r="E292" s="565"/>
      <c r="F292" s="565"/>
      <c r="G292" s="565"/>
      <c r="H292" s="565"/>
      <c r="I292" s="565"/>
      <c r="J292" s="565"/>
      <c r="K292" s="565"/>
    </row>
    <row r="293" spans="2:11" x14ac:dyDescent="0.25">
      <c r="B293" s="555" t="s">
        <v>1289</v>
      </c>
      <c r="C293" s="556" t="s">
        <v>116</v>
      </c>
      <c r="D293" s="555" t="s">
        <v>117</v>
      </c>
      <c r="E293" s="555" t="s">
        <v>118</v>
      </c>
      <c r="F293" s="584" t="s">
        <v>105</v>
      </c>
      <c r="G293" s="584"/>
      <c r="H293" s="557" t="s">
        <v>119</v>
      </c>
      <c r="I293" s="556" t="s">
        <v>120</v>
      </c>
      <c r="J293" s="556" t="s">
        <v>121</v>
      </c>
      <c r="K293" s="556" t="s">
        <v>0</v>
      </c>
    </row>
    <row r="294" spans="2:11" ht="30" x14ac:dyDescent="0.25">
      <c r="B294" s="549" t="s">
        <v>835</v>
      </c>
      <c r="C294" s="550" t="s">
        <v>1102</v>
      </c>
      <c r="D294" s="549" t="s">
        <v>557</v>
      </c>
      <c r="E294" s="549" t="s">
        <v>1103</v>
      </c>
      <c r="F294" s="585" t="s">
        <v>840</v>
      </c>
      <c r="G294" s="585"/>
      <c r="H294" s="551" t="s">
        <v>4</v>
      </c>
      <c r="I294" s="552">
        <v>1</v>
      </c>
      <c r="J294" s="553">
        <v>13.62</v>
      </c>
      <c r="K294" s="553">
        <v>13.62</v>
      </c>
    </row>
    <row r="295" spans="2:11" ht="60" x14ac:dyDescent="0.25">
      <c r="B295" s="558" t="s">
        <v>837</v>
      </c>
      <c r="C295" s="559" t="s">
        <v>1104</v>
      </c>
      <c r="D295" s="558" t="s">
        <v>561</v>
      </c>
      <c r="E295" s="558" t="s">
        <v>1105</v>
      </c>
      <c r="F295" s="586" t="s">
        <v>911</v>
      </c>
      <c r="G295" s="586"/>
      <c r="H295" s="560" t="s">
        <v>966</v>
      </c>
      <c r="I295" s="561">
        <v>1.3333299999999999E-2</v>
      </c>
      <c r="J295" s="562">
        <v>54.59</v>
      </c>
      <c r="K295" s="562">
        <v>0.72</v>
      </c>
    </row>
    <row r="296" spans="2:11" ht="45" x14ac:dyDescent="0.25">
      <c r="B296" s="558" t="s">
        <v>837</v>
      </c>
      <c r="C296" s="559" t="s">
        <v>1106</v>
      </c>
      <c r="D296" s="558" t="s">
        <v>561</v>
      </c>
      <c r="E296" s="558" t="s">
        <v>1107</v>
      </c>
      <c r="F296" s="586" t="s">
        <v>911</v>
      </c>
      <c r="G296" s="586"/>
      <c r="H296" s="560" t="s">
        <v>912</v>
      </c>
      <c r="I296" s="561">
        <v>3.3333300000000003E-2</v>
      </c>
      <c r="J296" s="562">
        <v>78.61</v>
      </c>
      <c r="K296" s="562">
        <v>2.62</v>
      </c>
    </row>
    <row r="297" spans="2:11" ht="60" x14ac:dyDescent="0.25">
      <c r="B297" s="558" t="s">
        <v>837</v>
      </c>
      <c r="C297" s="559" t="s">
        <v>909</v>
      </c>
      <c r="D297" s="558" t="s">
        <v>561</v>
      </c>
      <c r="E297" s="558" t="s">
        <v>910</v>
      </c>
      <c r="F297" s="586" t="s">
        <v>911</v>
      </c>
      <c r="G297" s="586"/>
      <c r="H297" s="560" t="s">
        <v>912</v>
      </c>
      <c r="I297" s="561">
        <v>0.02</v>
      </c>
      <c r="J297" s="562">
        <v>248.16</v>
      </c>
      <c r="K297" s="562">
        <v>4.96</v>
      </c>
    </row>
    <row r="298" spans="2:11" ht="30" x14ac:dyDescent="0.25">
      <c r="B298" s="558" t="s">
        <v>837</v>
      </c>
      <c r="C298" s="559" t="s">
        <v>1108</v>
      </c>
      <c r="D298" s="558" t="s">
        <v>561</v>
      </c>
      <c r="E298" s="558" t="s">
        <v>1109</v>
      </c>
      <c r="F298" s="586" t="s">
        <v>911</v>
      </c>
      <c r="G298" s="586"/>
      <c r="H298" s="560" t="s">
        <v>912</v>
      </c>
      <c r="I298" s="561">
        <v>3.3333300000000003E-2</v>
      </c>
      <c r="J298" s="562">
        <v>28.7</v>
      </c>
      <c r="K298" s="562">
        <v>0.95</v>
      </c>
    </row>
    <row r="299" spans="2:11" ht="30" x14ac:dyDescent="0.25">
      <c r="B299" s="558" t="s">
        <v>837</v>
      </c>
      <c r="C299" s="559" t="s">
        <v>1110</v>
      </c>
      <c r="D299" s="558" t="s">
        <v>561</v>
      </c>
      <c r="E299" s="558" t="s">
        <v>1111</v>
      </c>
      <c r="F299" s="586" t="s">
        <v>840</v>
      </c>
      <c r="G299" s="586"/>
      <c r="H299" s="560" t="s">
        <v>834</v>
      </c>
      <c r="I299" s="561">
        <v>6.6666699999999995E-2</v>
      </c>
      <c r="J299" s="562">
        <v>25.4</v>
      </c>
      <c r="K299" s="562">
        <v>1.69</v>
      </c>
    </row>
    <row r="300" spans="2:11" ht="30" x14ac:dyDescent="0.25">
      <c r="B300" s="558" t="s">
        <v>837</v>
      </c>
      <c r="C300" s="559" t="s">
        <v>841</v>
      </c>
      <c r="D300" s="558" t="s">
        <v>561</v>
      </c>
      <c r="E300" s="558" t="s">
        <v>842</v>
      </c>
      <c r="F300" s="586" t="s">
        <v>840</v>
      </c>
      <c r="G300" s="586"/>
      <c r="H300" s="560" t="s">
        <v>834</v>
      </c>
      <c r="I300" s="561">
        <v>0.13333329999999999</v>
      </c>
      <c r="J300" s="562">
        <v>20.13</v>
      </c>
      <c r="K300" s="562">
        <v>2.68</v>
      </c>
    </row>
    <row r="301" spans="2:11" x14ac:dyDescent="0.25">
      <c r="B301" s="563"/>
      <c r="C301" s="563"/>
      <c r="D301" s="563"/>
      <c r="E301" s="563"/>
      <c r="F301" s="563" t="s">
        <v>857</v>
      </c>
      <c r="G301" s="564">
        <v>4.38</v>
      </c>
      <c r="H301" s="563" t="s">
        <v>858</v>
      </c>
      <c r="I301" s="564">
        <v>0</v>
      </c>
      <c r="J301" s="563" t="s">
        <v>859</v>
      </c>
      <c r="K301" s="564">
        <v>4.38</v>
      </c>
    </row>
    <row r="302" spans="2:11" ht="15.75" thickBot="1" x14ac:dyDescent="0.3">
      <c r="B302" s="563"/>
      <c r="C302" s="563"/>
      <c r="D302" s="563"/>
      <c r="E302" s="563"/>
      <c r="F302" s="563" t="s">
        <v>860</v>
      </c>
      <c r="G302" s="564">
        <v>2.81</v>
      </c>
      <c r="H302" s="563"/>
      <c r="I302" s="583" t="s">
        <v>861</v>
      </c>
      <c r="J302" s="583"/>
      <c r="K302" s="564">
        <v>16.43</v>
      </c>
    </row>
    <row r="303" spans="2:11" ht="15.75" thickTop="1" x14ac:dyDescent="0.25">
      <c r="B303" s="565"/>
      <c r="C303" s="565"/>
      <c r="D303" s="565"/>
      <c r="E303" s="565"/>
      <c r="F303" s="565"/>
      <c r="G303" s="565"/>
      <c r="H303" s="565"/>
      <c r="I303" s="565"/>
      <c r="J303" s="565"/>
      <c r="K303" s="565"/>
    </row>
    <row r="304" spans="2:11" x14ac:dyDescent="0.25">
      <c r="B304" s="555" t="s">
        <v>732</v>
      </c>
      <c r="C304" s="556" t="s">
        <v>116</v>
      </c>
      <c r="D304" s="555" t="s">
        <v>117</v>
      </c>
      <c r="E304" s="555" t="s">
        <v>118</v>
      </c>
      <c r="F304" s="584" t="s">
        <v>105</v>
      </c>
      <c r="G304" s="584"/>
      <c r="H304" s="557" t="s">
        <v>119</v>
      </c>
      <c r="I304" s="556" t="s">
        <v>120</v>
      </c>
      <c r="J304" s="556" t="s">
        <v>121</v>
      </c>
      <c r="K304" s="556" t="s">
        <v>0</v>
      </c>
    </row>
    <row r="305" spans="2:11" ht="60" x14ac:dyDescent="0.25">
      <c r="B305" s="549" t="s">
        <v>835</v>
      </c>
      <c r="C305" s="550" t="s">
        <v>633</v>
      </c>
      <c r="D305" s="549" t="s">
        <v>557</v>
      </c>
      <c r="E305" s="549" t="s">
        <v>634</v>
      </c>
      <c r="F305" s="585" t="s">
        <v>840</v>
      </c>
      <c r="G305" s="585"/>
      <c r="H305" s="551" t="s">
        <v>829</v>
      </c>
      <c r="I305" s="552">
        <v>1</v>
      </c>
      <c r="J305" s="553">
        <v>7664.83</v>
      </c>
      <c r="K305" s="553">
        <v>7664.83</v>
      </c>
    </row>
    <row r="306" spans="2:11" ht="45" x14ac:dyDescent="0.25">
      <c r="B306" s="558" t="s">
        <v>837</v>
      </c>
      <c r="C306" s="559" t="s">
        <v>931</v>
      </c>
      <c r="D306" s="558" t="s">
        <v>561</v>
      </c>
      <c r="E306" s="558" t="s">
        <v>932</v>
      </c>
      <c r="F306" s="586" t="s">
        <v>845</v>
      </c>
      <c r="G306" s="586"/>
      <c r="H306" s="560" t="s">
        <v>856</v>
      </c>
      <c r="I306" s="561">
        <v>84</v>
      </c>
      <c r="J306" s="562">
        <v>15.28</v>
      </c>
      <c r="K306" s="562">
        <v>1283.52</v>
      </c>
    </row>
    <row r="307" spans="2:11" ht="45" x14ac:dyDescent="0.25">
      <c r="B307" s="558" t="s">
        <v>837</v>
      </c>
      <c r="C307" s="559" t="s">
        <v>933</v>
      </c>
      <c r="D307" s="558" t="s">
        <v>561</v>
      </c>
      <c r="E307" s="558" t="s">
        <v>934</v>
      </c>
      <c r="F307" s="586" t="s">
        <v>845</v>
      </c>
      <c r="G307" s="586"/>
      <c r="H307" s="560" t="s">
        <v>856</v>
      </c>
      <c r="I307" s="561">
        <v>12</v>
      </c>
      <c r="J307" s="562">
        <v>16.510000000000002</v>
      </c>
      <c r="K307" s="562">
        <v>198.12</v>
      </c>
    </row>
    <row r="308" spans="2:11" ht="45" x14ac:dyDescent="0.25">
      <c r="B308" s="558" t="s">
        <v>837</v>
      </c>
      <c r="C308" s="559" t="s">
        <v>935</v>
      </c>
      <c r="D308" s="558" t="s">
        <v>561</v>
      </c>
      <c r="E308" s="558" t="s">
        <v>936</v>
      </c>
      <c r="F308" s="586" t="s">
        <v>937</v>
      </c>
      <c r="G308" s="586"/>
      <c r="H308" s="560" t="s">
        <v>2</v>
      </c>
      <c r="I308" s="561">
        <v>15.9</v>
      </c>
      <c r="J308" s="562">
        <v>4.54</v>
      </c>
      <c r="K308" s="562">
        <v>72.180000000000007</v>
      </c>
    </row>
    <row r="309" spans="2:11" ht="30" x14ac:dyDescent="0.25">
      <c r="B309" s="558" t="s">
        <v>837</v>
      </c>
      <c r="C309" s="559" t="s">
        <v>938</v>
      </c>
      <c r="D309" s="558" t="s">
        <v>561</v>
      </c>
      <c r="E309" s="558" t="s">
        <v>939</v>
      </c>
      <c r="F309" s="586" t="s">
        <v>845</v>
      </c>
      <c r="G309" s="586"/>
      <c r="H309" s="560" t="s">
        <v>3</v>
      </c>
      <c r="I309" s="561">
        <v>2.86</v>
      </c>
      <c r="J309" s="562">
        <v>426.75</v>
      </c>
      <c r="K309" s="562">
        <v>1220.5</v>
      </c>
    </row>
    <row r="310" spans="2:11" ht="60" x14ac:dyDescent="0.25">
      <c r="B310" s="558" t="s">
        <v>837</v>
      </c>
      <c r="C310" s="559" t="s">
        <v>942</v>
      </c>
      <c r="D310" s="558" t="s">
        <v>561</v>
      </c>
      <c r="E310" s="558" t="s">
        <v>943</v>
      </c>
      <c r="F310" s="586" t="s">
        <v>911</v>
      </c>
      <c r="G310" s="586"/>
      <c r="H310" s="560" t="s">
        <v>912</v>
      </c>
      <c r="I310" s="561">
        <v>0.1</v>
      </c>
      <c r="J310" s="562">
        <v>275.51</v>
      </c>
      <c r="K310" s="562">
        <v>27.55</v>
      </c>
    </row>
    <row r="311" spans="2:11" ht="30" x14ac:dyDescent="0.25">
      <c r="B311" s="558" t="s">
        <v>837</v>
      </c>
      <c r="C311" s="559" t="s">
        <v>947</v>
      </c>
      <c r="D311" s="558" t="s">
        <v>561</v>
      </c>
      <c r="E311" s="558" t="s">
        <v>948</v>
      </c>
      <c r="F311" s="586" t="s">
        <v>946</v>
      </c>
      <c r="G311" s="586"/>
      <c r="H311" s="560" t="s">
        <v>3</v>
      </c>
      <c r="I311" s="561">
        <v>1.7</v>
      </c>
      <c r="J311" s="562">
        <v>79.63</v>
      </c>
      <c r="K311" s="562">
        <v>135.37</v>
      </c>
    </row>
    <row r="312" spans="2:11" ht="30" x14ac:dyDescent="0.25">
      <c r="B312" s="558" t="s">
        <v>837</v>
      </c>
      <c r="C312" s="559" t="s">
        <v>944</v>
      </c>
      <c r="D312" s="558" t="s">
        <v>561</v>
      </c>
      <c r="E312" s="558" t="s">
        <v>945</v>
      </c>
      <c r="F312" s="586" t="s">
        <v>946</v>
      </c>
      <c r="G312" s="586"/>
      <c r="H312" s="560" t="s">
        <v>3</v>
      </c>
      <c r="I312" s="561">
        <v>1.57</v>
      </c>
      <c r="J312" s="562">
        <v>24.47</v>
      </c>
      <c r="K312" s="562">
        <v>38.409999999999997</v>
      </c>
    </row>
    <row r="313" spans="2:11" ht="30" x14ac:dyDescent="0.25">
      <c r="B313" s="558" t="s">
        <v>837</v>
      </c>
      <c r="C313" s="559" t="s">
        <v>940</v>
      </c>
      <c r="D313" s="558" t="s">
        <v>561</v>
      </c>
      <c r="E313" s="558" t="s">
        <v>941</v>
      </c>
      <c r="F313" s="586" t="s">
        <v>845</v>
      </c>
      <c r="G313" s="586"/>
      <c r="H313" s="560" t="s">
        <v>3</v>
      </c>
      <c r="I313" s="561">
        <v>1.05</v>
      </c>
      <c r="J313" s="562">
        <v>468.5</v>
      </c>
      <c r="K313" s="562">
        <v>491.92</v>
      </c>
    </row>
    <row r="314" spans="2:11" ht="45" x14ac:dyDescent="0.25">
      <c r="B314" s="558" t="s">
        <v>837</v>
      </c>
      <c r="C314" s="559" t="s">
        <v>949</v>
      </c>
      <c r="D314" s="558" t="s">
        <v>561</v>
      </c>
      <c r="E314" s="558" t="s">
        <v>950</v>
      </c>
      <c r="F314" s="586" t="s">
        <v>951</v>
      </c>
      <c r="G314" s="586"/>
      <c r="H314" s="560" t="s">
        <v>2</v>
      </c>
      <c r="I314" s="561">
        <v>17.100000000000001</v>
      </c>
      <c r="J314" s="562">
        <v>137.80000000000001</v>
      </c>
      <c r="K314" s="562">
        <v>2356.38</v>
      </c>
    </row>
    <row r="315" spans="2:11" ht="30" x14ac:dyDescent="0.25">
      <c r="B315" s="558" t="s">
        <v>837</v>
      </c>
      <c r="C315" s="559" t="s">
        <v>599</v>
      </c>
      <c r="D315" s="558" t="s">
        <v>561</v>
      </c>
      <c r="E315" s="558" t="s">
        <v>600</v>
      </c>
      <c r="F315" s="586" t="s">
        <v>946</v>
      </c>
      <c r="G315" s="586"/>
      <c r="H315" s="560" t="s">
        <v>2</v>
      </c>
      <c r="I315" s="561">
        <v>12</v>
      </c>
      <c r="J315" s="562">
        <v>5.84</v>
      </c>
      <c r="K315" s="562">
        <v>70.08</v>
      </c>
    </row>
    <row r="316" spans="2:11" ht="45" x14ac:dyDescent="0.25">
      <c r="B316" s="558" t="s">
        <v>837</v>
      </c>
      <c r="C316" s="559" t="s">
        <v>952</v>
      </c>
      <c r="D316" s="558" t="s">
        <v>561</v>
      </c>
      <c r="E316" s="558" t="s">
        <v>953</v>
      </c>
      <c r="F316" s="586" t="s">
        <v>946</v>
      </c>
      <c r="G316" s="586"/>
      <c r="H316" s="560" t="s">
        <v>3</v>
      </c>
      <c r="I316" s="561">
        <v>1.59</v>
      </c>
      <c r="J316" s="562">
        <v>244.98</v>
      </c>
      <c r="K316" s="562">
        <v>389.51</v>
      </c>
    </row>
    <row r="317" spans="2:11" ht="45" x14ac:dyDescent="0.25">
      <c r="B317" s="558" t="s">
        <v>837</v>
      </c>
      <c r="C317" s="559" t="s">
        <v>954</v>
      </c>
      <c r="D317" s="558" t="s">
        <v>561</v>
      </c>
      <c r="E317" s="558" t="s">
        <v>955</v>
      </c>
      <c r="F317" s="586" t="s">
        <v>845</v>
      </c>
      <c r="G317" s="586"/>
      <c r="H317" s="560" t="s">
        <v>2</v>
      </c>
      <c r="I317" s="561">
        <v>3.53</v>
      </c>
      <c r="J317" s="562">
        <v>89.8</v>
      </c>
      <c r="K317" s="562">
        <v>316.99</v>
      </c>
    </row>
    <row r="318" spans="2:11" ht="30" x14ac:dyDescent="0.25">
      <c r="B318" s="558" t="s">
        <v>837</v>
      </c>
      <c r="C318" s="559" t="s">
        <v>956</v>
      </c>
      <c r="D318" s="558" t="s">
        <v>561</v>
      </c>
      <c r="E318" s="558" t="s">
        <v>957</v>
      </c>
      <c r="F318" s="586" t="s">
        <v>845</v>
      </c>
      <c r="G318" s="586"/>
      <c r="H318" s="560" t="s">
        <v>3</v>
      </c>
      <c r="I318" s="561">
        <v>3.91</v>
      </c>
      <c r="J318" s="562">
        <v>272.2</v>
      </c>
      <c r="K318" s="562">
        <v>1064.3</v>
      </c>
    </row>
    <row r="319" spans="2:11" x14ac:dyDescent="0.25">
      <c r="B319" s="563"/>
      <c r="C319" s="563"/>
      <c r="D319" s="563"/>
      <c r="E319" s="563"/>
      <c r="F319" s="563" t="s">
        <v>857</v>
      </c>
      <c r="G319" s="564">
        <v>2716.4</v>
      </c>
      <c r="H319" s="563" t="s">
        <v>858</v>
      </c>
      <c r="I319" s="564">
        <v>0</v>
      </c>
      <c r="J319" s="563" t="s">
        <v>859</v>
      </c>
      <c r="K319" s="564">
        <v>2716.4</v>
      </c>
    </row>
    <row r="320" spans="2:11" ht="15.75" thickBot="1" x14ac:dyDescent="0.3">
      <c r="B320" s="563"/>
      <c r="C320" s="563"/>
      <c r="D320" s="563"/>
      <c r="E320" s="563"/>
      <c r="F320" s="563" t="s">
        <v>860</v>
      </c>
      <c r="G320" s="564">
        <v>1586.61</v>
      </c>
      <c r="H320" s="563"/>
      <c r="I320" s="583" t="s">
        <v>861</v>
      </c>
      <c r="J320" s="583"/>
      <c r="K320" s="564">
        <v>9251.44</v>
      </c>
    </row>
    <row r="321" spans="2:11" ht="15.75" thickTop="1" x14ac:dyDescent="0.25">
      <c r="B321" s="565"/>
      <c r="C321" s="565"/>
      <c r="D321" s="565"/>
      <c r="E321" s="565"/>
      <c r="F321" s="565"/>
      <c r="G321" s="565"/>
      <c r="H321" s="565"/>
      <c r="I321" s="565"/>
      <c r="J321" s="565"/>
      <c r="K321" s="565"/>
    </row>
    <row r="322" spans="2:11" x14ac:dyDescent="0.25">
      <c r="B322" s="555" t="s">
        <v>733</v>
      </c>
      <c r="C322" s="556" t="s">
        <v>116</v>
      </c>
      <c r="D322" s="555" t="s">
        <v>117</v>
      </c>
      <c r="E322" s="555" t="s">
        <v>118</v>
      </c>
      <c r="F322" s="584" t="s">
        <v>105</v>
      </c>
      <c r="G322" s="584"/>
      <c r="H322" s="557" t="s">
        <v>119</v>
      </c>
      <c r="I322" s="556" t="s">
        <v>120</v>
      </c>
      <c r="J322" s="556" t="s">
        <v>121</v>
      </c>
      <c r="K322" s="556" t="s">
        <v>0</v>
      </c>
    </row>
    <row r="323" spans="2:11" ht="60" x14ac:dyDescent="0.25">
      <c r="B323" s="549" t="s">
        <v>835</v>
      </c>
      <c r="C323" s="550" t="s">
        <v>734</v>
      </c>
      <c r="D323" s="549" t="s">
        <v>557</v>
      </c>
      <c r="E323" s="549" t="s">
        <v>735</v>
      </c>
      <c r="F323" s="585" t="s">
        <v>840</v>
      </c>
      <c r="G323" s="585"/>
      <c r="H323" s="551" t="s">
        <v>829</v>
      </c>
      <c r="I323" s="552">
        <v>1</v>
      </c>
      <c r="J323" s="553">
        <v>10504.74</v>
      </c>
      <c r="K323" s="553">
        <v>10504.74</v>
      </c>
    </row>
    <row r="324" spans="2:11" ht="45" x14ac:dyDescent="0.25">
      <c r="B324" s="558" t="s">
        <v>837</v>
      </c>
      <c r="C324" s="559" t="s">
        <v>1031</v>
      </c>
      <c r="D324" s="558" t="s">
        <v>561</v>
      </c>
      <c r="E324" s="558" t="s">
        <v>1032</v>
      </c>
      <c r="F324" s="586" t="s">
        <v>840</v>
      </c>
      <c r="G324" s="586"/>
      <c r="H324" s="560" t="s">
        <v>3</v>
      </c>
      <c r="I324" s="561">
        <v>0.51</v>
      </c>
      <c r="J324" s="562">
        <v>525.61</v>
      </c>
      <c r="K324" s="562">
        <v>268.06</v>
      </c>
    </row>
    <row r="325" spans="2:11" ht="45" x14ac:dyDescent="0.25">
      <c r="B325" s="558" t="s">
        <v>837</v>
      </c>
      <c r="C325" s="559" t="s">
        <v>931</v>
      </c>
      <c r="D325" s="558" t="s">
        <v>561</v>
      </c>
      <c r="E325" s="558" t="s">
        <v>932</v>
      </c>
      <c r="F325" s="586" t="s">
        <v>845</v>
      </c>
      <c r="G325" s="586"/>
      <c r="H325" s="560" t="s">
        <v>856</v>
      </c>
      <c r="I325" s="561">
        <v>108</v>
      </c>
      <c r="J325" s="562">
        <v>15.28</v>
      </c>
      <c r="K325" s="562">
        <v>1650.24</v>
      </c>
    </row>
    <row r="326" spans="2:11" ht="45" x14ac:dyDescent="0.25">
      <c r="B326" s="558" t="s">
        <v>837</v>
      </c>
      <c r="C326" s="559" t="s">
        <v>933</v>
      </c>
      <c r="D326" s="558" t="s">
        <v>561</v>
      </c>
      <c r="E326" s="558" t="s">
        <v>934</v>
      </c>
      <c r="F326" s="586" t="s">
        <v>845</v>
      </c>
      <c r="G326" s="586"/>
      <c r="H326" s="560" t="s">
        <v>856</v>
      </c>
      <c r="I326" s="561">
        <v>17</v>
      </c>
      <c r="J326" s="562">
        <v>16.510000000000002</v>
      </c>
      <c r="K326" s="562">
        <v>280.67</v>
      </c>
    </row>
    <row r="327" spans="2:11" ht="45" x14ac:dyDescent="0.25">
      <c r="B327" s="558" t="s">
        <v>837</v>
      </c>
      <c r="C327" s="559" t="s">
        <v>935</v>
      </c>
      <c r="D327" s="558" t="s">
        <v>561</v>
      </c>
      <c r="E327" s="558" t="s">
        <v>936</v>
      </c>
      <c r="F327" s="586" t="s">
        <v>937</v>
      </c>
      <c r="G327" s="586"/>
      <c r="H327" s="560" t="s">
        <v>2</v>
      </c>
      <c r="I327" s="561">
        <v>20.399999999999999</v>
      </c>
      <c r="J327" s="562">
        <v>4.54</v>
      </c>
      <c r="K327" s="562">
        <v>92.61</v>
      </c>
    </row>
    <row r="328" spans="2:11" ht="30" x14ac:dyDescent="0.25">
      <c r="B328" s="558" t="s">
        <v>837</v>
      </c>
      <c r="C328" s="559" t="s">
        <v>938</v>
      </c>
      <c r="D328" s="558" t="s">
        <v>561</v>
      </c>
      <c r="E328" s="558" t="s">
        <v>939</v>
      </c>
      <c r="F328" s="586" t="s">
        <v>845</v>
      </c>
      <c r="G328" s="586"/>
      <c r="H328" s="560" t="s">
        <v>3</v>
      </c>
      <c r="I328" s="561">
        <v>3.98</v>
      </c>
      <c r="J328" s="562">
        <v>426.75</v>
      </c>
      <c r="K328" s="562">
        <v>1698.46</v>
      </c>
    </row>
    <row r="329" spans="2:11" ht="30" x14ac:dyDescent="0.25">
      <c r="B329" s="558" t="s">
        <v>837</v>
      </c>
      <c r="C329" s="559" t="s">
        <v>1033</v>
      </c>
      <c r="D329" s="558" t="s">
        <v>561</v>
      </c>
      <c r="E329" s="558" t="s">
        <v>1034</v>
      </c>
      <c r="F329" s="586" t="s">
        <v>845</v>
      </c>
      <c r="G329" s="586"/>
      <c r="H329" s="560" t="s">
        <v>3</v>
      </c>
      <c r="I329" s="561">
        <v>1.46</v>
      </c>
      <c r="J329" s="562">
        <v>455.3</v>
      </c>
      <c r="K329" s="562">
        <v>664.73</v>
      </c>
    </row>
    <row r="330" spans="2:11" ht="60" x14ac:dyDescent="0.25">
      <c r="B330" s="558" t="s">
        <v>837</v>
      </c>
      <c r="C330" s="559" t="s">
        <v>942</v>
      </c>
      <c r="D330" s="558" t="s">
        <v>561</v>
      </c>
      <c r="E330" s="558" t="s">
        <v>943</v>
      </c>
      <c r="F330" s="586" t="s">
        <v>911</v>
      </c>
      <c r="G330" s="586"/>
      <c r="H330" s="560" t="s">
        <v>912</v>
      </c>
      <c r="I330" s="561">
        <v>0.1</v>
      </c>
      <c r="J330" s="562">
        <v>275.51</v>
      </c>
      <c r="K330" s="562">
        <v>27.55</v>
      </c>
    </row>
    <row r="331" spans="2:11" ht="30" x14ac:dyDescent="0.25">
      <c r="B331" s="558" t="s">
        <v>837</v>
      </c>
      <c r="C331" s="559" t="s">
        <v>947</v>
      </c>
      <c r="D331" s="558" t="s">
        <v>561</v>
      </c>
      <c r="E331" s="558" t="s">
        <v>948</v>
      </c>
      <c r="F331" s="586" t="s">
        <v>946</v>
      </c>
      <c r="G331" s="586"/>
      <c r="H331" s="560" t="s">
        <v>3</v>
      </c>
      <c r="I331" s="561">
        <v>2.2000000000000002</v>
      </c>
      <c r="J331" s="562">
        <v>79.63</v>
      </c>
      <c r="K331" s="562">
        <v>175.18</v>
      </c>
    </row>
    <row r="332" spans="2:11" ht="30" x14ac:dyDescent="0.25">
      <c r="B332" s="558" t="s">
        <v>837</v>
      </c>
      <c r="C332" s="559" t="s">
        <v>944</v>
      </c>
      <c r="D332" s="558" t="s">
        <v>561</v>
      </c>
      <c r="E332" s="558" t="s">
        <v>945</v>
      </c>
      <c r="F332" s="586" t="s">
        <v>946</v>
      </c>
      <c r="G332" s="586"/>
      <c r="H332" s="560" t="s">
        <v>3</v>
      </c>
      <c r="I332" s="561">
        <v>2</v>
      </c>
      <c r="J332" s="562">
        <v>24.47</v>
      </c>
      <c r="K332" s="562">
        <v>48.94</v>
      </c>
    </row>
    <row r="333" spans="2:11" ht="30" x14ac:dyDescent="0.25">
      <c r="B333" s="558" t="s">
        <v>837</v>
      </c>
      <c r="C333" s="559" t="s">
        <v>1035</v>
      </c>
      <c r="D333" s="558" t="s">
        <v>561</v>
      </c>
      <c r="E333" s="558" t="s">
        <v>1036</v>
      </c>
      <c r="F333" s="586" t="s">
        <v>845</v>
      </c>
      <c r="G333" s="586"/>
      <c r="H333" s="560" t="s">
        <v>2</v>
      </c>
      <c r="I333" s="561">
        <v>4.34</v>
      </c>
      <c r="J333" s="562">
        <v>122.32</v>
      </c>
      <c r="K333" s="562">
        <v>530.86</v>
      </c>
    </row>
    <row r="334" spans="2:11" ht="45" x14ac:dyDescent="0.25">
      <c r="B334" s="558" t="s">
        <v>837</v>
      </c>
      <c r="C334" s="559" t="s">
        <v>949</v>
      </c>
      <c r="D334" s="558" t="s">
        <v>561</v>
      </c>
      <c r="E334" s="558" t="s">
        <v>950</v>
      </c>
      <c r="F334" s="586" t="s">
        <v>951</v>
      </c>
      <c r="G334" s="586"/>
      <c r="H334" s="560" t="s">
        <v>2</v>
      </c>
      <c r="I334" s="561">
        <v>21.6</v>
      </c>
      <c r="J334" s="562">
        <v>137.80000000000001</v>
      </c>
      <c r="K334" s="562">
        <v>2976.48</v>
      </c>
    </row>
    <row r="335" spans="2:11" ht="30" x14ac:dyDescent="0.25">
      <c r="B335" s="558" t="s">
        <v>837</v>
      </c>
      <c r="C335" s="559" t="s">
        <v>599</v>
      </c>
      <c r="D335" s="558" t="s">
        <v>561</v>
      </c>
      <c r="E335" s="558" t="s">
        <v>600</v>
      </c>
      <c r="F335" s="586" t="s">
        <v>946</v>
      </c>
      <c r="G335" s="586"/>
      <c r="H335" s="560" t="s">
        <v>2</v>
      </c>
      <c r="I335" s="561">
        <v>16</v>
      </c>
      <c r="J335" s="562">
        <v>5.84</v>
      </c>
      <c r="K335" s="562">
        <v>93.44</v>
      </c>
    </row>
    <row r="336" spans="2:11" ht="45" x14ac:dyDescent="0.25">
      <c r="B336" s="558" t="s">
        <v>837</v>
      </c>
      <c r="C336" s="559" t="s">
        <v>952</v>
      </c>
      <c r="D336" s="558" t="s">
        <v>561</v>
      </c>
      <c r="E336" s="558" t="s">
        <v>953</v>
      </c>
      <c r="F336" s="586" t="s">
        <v>946</v>
      </c>
      <c r="G336" s="586"/>
      <c r="H336" s="560" t="s">
        <v>3</v>
      </c>
      <c r="I336" s="561">
        <v>2.1094080000000002</v>
      </c>
      <c r="J336" s="562">
        <v>244.98</v>
      </c>
      <c r="K336" s="562">
        <v>516.76</v>
      </c>
    </row>
    <row r="337" spans="2:11" ht="30" x14ac:dyDescent="0.25">
      <c r="B337" s="558" t="s">
        <v>837</v>
      </c>
      <c r="C337" s="559" t="s">
        <v>956</v>
      </c>
      <c r="D337" s="558" t="s">
        <v>561</v>
      </c>
      <c r="E337" s="558" t="s">
        <v>957</v>
      </c>
      <c r="F337" s="586" t="s">
        <v>845</v>
      </c>
      <c r="G337" s="586"/>
      <c r="H337" s="560" t="s">
        <v>3</v>
      </c>
      <c r="I337" s="561">
        <v>5.44</v>
      </c>
      <c r="J337" s="562">
        <v>272.2</v>
      </c>
      <c r="K337" s="562">
        <v>1480.76</v>
      </c>
    </row>
    <row r="338" spans="2:11" x14ac:dyDescent="0.25">
      <c r="B338" s="563"/>
      <c r="C338" s="563"/>
      <c r="D338" s="563"/>
      <c r="E338" s="563"/>
      <c r="F338" s="563" t="s">
        <v>857</v>
      </c>
      <c r="G338" s="564">
        <v>3501.85</v>
      </c>
      <c r="H338" s="563" t="s">
        <v>858</v>
      </c>
      <c r="I338" s="564">
        <v>0</v>
      </c>
      <c r="J338" s="563" t="s">
        <v>859</v>
      </c>
      <c r="K338" s="564">
        <v>3501.85</v>
      </c>
    </row>
    <row r="339" spans="2:11" ht="15.75" thickBot="1" x14ac:dyDescent="0.3">
      <c r="B339" s="563"/>
      <c r="C339" s="563"/>
      <c r="D339" s="563"/>
      <c r="E339" s="563"/>
      <c r="F339" s="563" t="s">
        <v>860</v>
      </c>
      <c r="G339" s="564">
        <v>2174.48</v>
      </c>
      <c r="H339" s="563"/>
      <c r="I339" s="583" t="s">
        <v>861</v>
      </c>
      <c r="J339" s="583"/>
      <c r="K339" s="564">
        <v>12679.22</v>
      </c>
    </row>
    <row r="340" spans="2:11" ht="15.75" thickTop="1" x14ac:dyDescent="0.25">
      <c r="B340" s="565"/>
      <c r="C340" s="565"/>
      <c r="D340" s="565"/>
      <c r="E340" s="565"/>
      <c r="F340" s="565"/>
      <c r="G340" s="565"/>
      <c r="H340" s="565"/>
      <c r="I340" s="565"/>
      <c r="J340" s="565"/>
      <c r="K340" s="565"/>
    </row>
    <row r="341" spans="2:11" x14ac:dyDescent="0.25">
      <c r="B341" s="555" t="s">
        <v>738</v>
      </c>
      <c r="C341" s="556" t="s">
        <v>116</v>
      </c>
      <c r="D341" s="555" t="s">
        <v>117</v>
      </c>
      <c r="E341" s="555" t="s">
        <v>118</v>
      </c>
      <c r="F341" s="584" t="s">
        <v>105</v>
      </c>
      <c r="G341" s="584"/>
      <c r="H341" s="557" t="s">
        <v>119</v>
      </c>
      <c r="I341" s="556" t="s">
        <v>120</v>
      </c>
      <c r="J341" s="556" t="s">
        <v>121</v>
      </c>
      <c r="K341" s="556" t="s">
        <v>0</v>
      </c>
    </row>
    <row r="342" spans="2:11" ht="30" x14ac:dyDescent="0.25">
      <c r="B342" s="549" t="s">
        <v>835</v>
      </c>
      <c r="C342" s="550" t="s">
        <v>739</v>
      </c>
      <c r="D342" s="549" t="s">
        <v>557</v>
      </c>
      <c r="E342" s="549" t="s">
        <v>740</v>
      </c>
      <c r="F342" s="585" t="s">
        <v>958</v>
      </c>
      <c r="G342" s="585"/>
      <c r="H342" s="551" t="s">
        <v>833</v>
      </c>
      <c r="I342" s="552">
        <v>1</v>
      </c>
      <c r="J342" s="553">
        <v>4104.1400000000003</v>
      </c>
      <c r="K342" s="553">
        <v>4104.1400000000003</v>
      </c>
    </row>
    <row r="343" spans="2:11" ht="30" x14ac:dyDescent="0.25">
      <c r="B343" s="558" t="s">
        <v>837</v>
      </c>
      <c r="C343" s="559" t="s">
        <v>978</v>
      </c>
      <c r="D343" s="558" t="s">
        <v>561</v>
      </c>
      <c r="E343" s="558" t="s">
        <v>979</v>
      </c>
      <c r="F343" s="586" t="s">
        <v>840</v>
      </c>
      <c r="G343" s="586"/>
      <c r="H343" s="560" t="s">
        <v>834</v>
      </c>
      <c r="I343" s="561">
        <v>0.2</v>
      </c>
      <c r="J343" s="562">
        <v>24.93</v>
      </c>
      <c r="K343" s="562">
        <v>4.9800000000000004</v>
      </c>
    </row>
    <row r="344" spans="2:11" ht="30" x14ac:dyDescent="0.25">
      <c r="B344" s="558" t="s">
        <v>837</v>
      </c>
      <c r="C344" s="559" t="s">
        <v>841</v>
      </c>
      <c r="D344" s="558" t="s">
        <v>561</v>
      </c>
      <c r="E344" s="558" t="s">
        <v>842</v>
      </c>
      <c r="F344" s="586" t="s">
        <v>840</v>
      </c>
      <c r="G344" s="586"/>
      <c r="H344" s="560" t="s">
        <v>834</v>
      </c>
      <c r="I344" s="561">
        <v>0.4</v>
      </c>
      <c r="J344" s="562">
        <v>20.13</v>
      </c>
      <c r="K344" s="562">
        <v>8.0500000000000007</v>
      </c>
    </row>
    <row r="345" spans="2:11" ht="45" x14ac:dyDescent="0.25">
      <c r="B345" s="558" t="s">
        <v>837</v>
      </c>
      <c r="C345" s="559" t="s">
        <v>1037</v>
      </c>
      <c r="D345" s="558" t="s">
        <v>561</v>
      </c>
      <c r="E345" s="558" t="s">
        <v>1038</v>
      </c>
      <c r="F345" s="586" t="s">
        <v>845</v>
      </c>
      <c r="G345" s="586"/>
      <c r="H345" s="560" t="s">
        <v>3</v>
      </c>
      <c r="I345" s="561">
        <v>0.22</v>
      </c>
      <c r="J345" s="562">
        <v>488.02</v>
      </c>
      <c r="K345" s="562">
        <v>107.36</v>
      </c>
    </row>
    <row r="346" spans="2:11" ht="30" x14ac:dyDescent="0.25">
      <c r="B346" s="558" t="s">
        <v>837</v>
      </c>
      <c r="C346" s="559" t="s">
        <v>1039</v>
      </c>
      <c r="D346" s="558" t="s">
        <v>561</v>
      </c>
      <c r="E346" s="558" t="s">
        <v>1040</v>
      </c>
      <c r="F346" s="586" t="s">
        <v>958</v>
      </c>
      <c r="G346" s="586"/>
      <c r="H346" s="560" t="s">
        <v>833</v>
      </c>
      <c r="I346" s="561">
        <v>1</v>
      </c>
      <c r="J346" s="562">
        <v>3372.44</v>
      </c>
      <c r="K346" s="562">
        <v>3372.44</v>
      </c>
    </row>
    <row r="347" spans="2:11" ht="30" x14ac:dyDescent="0.25">
      <c r="B347" s="558" t="s">
        <v>837</v>
      </c>
      <c r="C347" s="559" t="s">
        <v>1041</v>
      </c>
      <c r="D347" s="558" t="s">
        <v>561</v>
      </c>
      <c r="E347" s="558" t="s">
        <v>1042</v>
      </c>
      <c r="F347" s="586" t="s">
        <v>845</v>
      </c>
      <c r="G347" s="586"/>
      <c r="H347" s="560" t="s">
        <v>856</v>
      </c>
      <c r="I347" s="561">
        <v>30.2</v>
      </c>
      <c r="J347" s="562">
        <v>17.350000000000001</v>
      </c>
      <c r="K347" s="562">
        <v>523.97</v>
      </c>
    </row>
    <row r="348" spans="2:11" ht="30" x14ac:dyDescent="0.25">
      <c r="B348" s="558" t="s">
        <v>846</v>
      </c>
      <c r="C348" s="559" t="s">
        <v>1043</v>
      </c>
      <c r="D348" s="558" t="s">
        <v>561</v>
      </c>
      <c r="E348" s="558" t="s">
        <v>1044</v>
      </c>
      <c r="F348" s="586" t="s">
        <v>849</v>
      </c>
      <c r="G348" s="586"/>
      <c r="H348" s="560" t="s">
        <v>833</v>
      </c>
      <c r="I348" s="561">
        <v>2</v>
      </c>
      <c r="J348" s="562">
        <v>43.67</v>
      </c>
      <c r="K348" s="562">
        <v>87.34</v>
      </c>
    </row>
    <row r="349" spans="2:11" x14ac:dyDescent="0.25">
      <c r="B349" s="563"/>
      <c r="C349" s="563"/>
      <c r="D349" s="563"/>
      <c r="E349" s="563"/>
      <c r="F349" s="563" t="s">
        <v>857</v>
      </c>
      <c r="G349" s="564">
        <v>933.43</v>
      </c>
      <c r="H349" s="563" t="s">
        <v>858</v>
      </c>
      <c r="I349" s="564">
        <v>0</v>
      </c>
      <c r="J349" s="563" t="s">
        <v>859</v>
      </c>
      <c r="K349" s="564">
        <v>933.43</v>
      </c>
    </row>
    <row r="350" spans="2:11" ht="15.75" thickBot="1" x14ac:dyDescent="0.3">
      <c r="B350" s="563"/>
      <c r="C350" s="563"/>
      <c r="D350" s="563"/>
      <c r="E350" s="563"/>
      <c r="F350" s="563" t="s">
        <v>860</v>
      </c>
      <c r="G350" s="564">
        <v>849.55</v>
      </c>
      <c r="H350" s="563"/>
      <c r="I350" s="583" t="s">
        <v>861</v>
      </c>
      <c r="J350" s="583"/>
      <c r="K350" s="564">
        <v>4953.6899999999996</v>
      </c>
    </row>
    <row r="351" spans="2:11" ht="15.75" thickTop="1" x14ac:dyDescent="0.25">
      <c r="B351" s="565"/>
      <c r="C351" s="565"/>
      <c r="D351" s="565"/>
      <c r="E351" s="565"/>
      <c r="F351" s="565"/>
      <c r="G351" s="565"/>
      <c r="H351" s="565"/>
      <c r="I351" s="565"/>
      <c r="J351" s="565"/>
      <c r="K351" s="565"/>
    </row>
    <row r="352" spans="2:11" x14ac:dyDescent="0.25">
      <c r="B352" s="555" t="s">
        <v>744</v>
      </c>
      <c r="C352" s="556" t="s">
        <v>116</v>
      </c>
      <c r="D352" s="555" t="s">
        <v>117</v>
      </c>
      <c r="E352" s="555" t="s">
        <v>118</v>
      </c>
      <c r="F352" s="584" t="s">
        <v>105</v>
      </c>
      <c r="G352" s="584"/>
      <c r="H352" s="557" t="s">
        <v>119</v>
      </c>
      <c r="I352" s="556" t="s">
        <v>120</v>
      </c>
      <c r="J352" s="556" t="s">
        <v>121</v>
      </c>
      <c r="K352" s="556" t="s">
        <v>0</v>
      </c>
    </row>
    <row r="353" spans="2:11" ht="30" x14ac:dyDescent="0.25">
      <c r="B353" s="549" t="s">
        <v>835</v>
      </c>
      <c r="C353" s="550" t="s">
        <v>745</v>
      </c>
      <c r="D353" s="549" t="s">
        <v>557</v>
      </c>
      <c r="E353" s="549" t="s">
        <v>746</v>
      </c>
      <c r="F353" s="585" t="s">
        <v>958</v>
      </c>
      <c r="G353" s="585"/>
      <c r="H353" s="551" t="s">
        <v>833</v>
      </c>
      <c r="I353" s="552">
        <v>1</v>
      </c>
      <c r="J353" s="553">
        <v>93.7</v>
      </c>
      <c r="K353" s="553">
        <v>93.7</v>
      </c>
    </row>
    <row r="354" spans="2:11" ht="30" x14ac:dyDescent="0.25">
      <c r="B354" s="558" t="s">
        <v>837</v>
      </c>
      <c r="C354" s="559" t="s">
        <v>940</v>
      </c>
      <c r="D354" s="558" t="s">
        <v>561</v>
      </c>
      <c r="E354" s="558" t="s">
        <v>941</v>
      </c>
      <c r="F354" s="586" t="s">
        <v>845</v>
      </c>
      <c r="G354" s="586"/>
      <c r="H354" s="560" t="s">
        <v>3</v>
      </c>
      <c r="I354" s="561">
        <v>0.11</v>
      </c>
      <c r="J354" s="562">
        <v>468.5</v>
      </c>
      <c r="K354" s="562">
        <v>51.53</v>
      </c>
    </row>
    <row r="355" spans="2:11" ht="30" x14ac:dyDescent="0.25">
      <c r="B355" s="558" t="s">
        <v>837</v>
      </c>
      <c r="C355" s="559" t="s">
        <v>1035</v>
      </c>
      <c r="D355" s="558" t="s">
        <v>561</v>
      </c>
      <c r="E355" s="558" t="s">
        <v>1036</v>
      </c>
      <c r="F355" s="586" t="s">
        <v>845</v>
      </c>
      <c r="G355" s="586"/>
      <c r="H355" s="560" t="s">
        <v>2</v>
      </c>
      <c r="I355" s="561">
        <v>0.1</v>
      </c>
      <c r="J355" s="562">
        <v>122.32</v>
      </c>
      <c r="K355" s="562">
        <v>12.23</v>
      </c>
    </row>
    <row r="356" spans="2:11" ht="30" x14ac:dyDescent="0.25">
      <c r="B356" s="558" t="s">
        <v>837</v>
      </c>
      <c r="C356" s="559" t="s">
        <v>956</v>
      </c>
      <c r="D356" s="558" t="s">
        <v>561</v>
      </c>
      <c r="E356" s="558" t="s">
        <v>957</v>
      </c>
      <c r="F356" s="586" t="s">
        <v>845</v>
      </c>
      <c r="G356" s="586"/>
      <c r="H356" s="560" t="s">
        <v>3</v>
      </c>
      <c r="I356" s="561">
        <v>0.11</v>
      </c>
      <c r="J356" s="562">
        <v>272.2</v>
      </c>
      <c r="K356" s="562">
        <v>29.94</v>
      </c>
    </row>
    <row r="357" spans="2:11" x14ac:dyDescent="0.25">
      <c r="B357" s="563"/>
      <c r="C357" s="563"/>
      <c r="D357" s="563"/>
      <c r="E357" s="563"/>
      <c r="F357" s="563" t="s">
        <v>857</v>
      </c>
      <c r="G357" s="564">
        <v>30.14</v>
      </c>
      <c r="H357" s="563" t="s">
        <v>858</v>
      </c>
      <c r="I357" s="564">
        <v>0</v>
      </c>
      <c r="J357" s="563" t="s">
        <v>859</v>
      </c>
      <c r="K357" s="564">
        <v>30.14</v>
      </c>
    </row>
    <row r="358" spans="2:11" ht="15.75" thickBot="1" x14ac:dyDescent="0.3">
      <c r="B358" s="563"/>
      <c r="C358" s="563"/>
      <c r="D358" s="563"/>
      <c r="E358" s="563"/>
      <c r="F358" s="563" t="s">
        <v>860</v>
      </c>
      <c r="G358" s="564">
        <v>19.39</v>
      </c>
      <c r="H358" s="563"/>
      <c r="I358" s="583" t="s">
        <v>861</v>
      </c>
      <c r="J358" s="583"/>
      <c r="K358" s="564">
        <v>113.09</v>
      </c>
    </row>
    <row r="359" spans="2:11" ht="15.75" thickTop="1" x14ac:dyDescent="0.25">
      <c r="B359" s="565"/>
      <c r="C359" s="565"/>
      <c r="D359" s="565"/>
      <c r="E359" s="565"/>
      <c r="F359" s="565"/>
      <c r="G359" s="565"/>
      <c r="H359" s="565"/>
      <c r="I359" s="565"/>
      <c r="J359" s="565"/>
      <c r="K359" s="565"/>
    </row>
    <row r="360" spans="2:11" x14ac:dyDescent="0.25">
      <c r="B360" s="555" t="s">
        <v>747</v>
      </c>
      <c r="C360" s="556" t="s">
        <v>116</v>
      </c>
      <c r="D360" s="555" t="s">
        <v>117</v>
      </c>
      <c r="E360" s="555" t="s">
        <v>118</v>
      </c>
      <c r="F360" s="584" t="s">
        <v>105</v>
      </c>
      <c r="G360" s="584"/>
      <c r="H360" s="557" t="s">
        <v>119</v>
      </c>
      <c r="I360" s="556" t="s">
        <v>120</v>
      </c>
      <c r="J360" s="556" t="s">
        <v>121</v>
      </c>
      <c r="K360" s="556" t="s">
        <v>0</v>
      </c>
    </row>
    <row r="361" spans="2:11" ht="30" x14ac:dyDescent="0.25">
      <c r="B361" s="549" t="s">
        <v>835</v>
      </c>
      <c r="C361" s="550" t="s">
        <v>748</v>
      </c>
      <c r="D361" s="549" t="s">
        <v>557</v>
      </c>
      <c r="E361" s="549" t="s">
        <v>749</v>
      </c>
      <c r="F361" s="585" t="s">
        <v>958</v>
      </c>
      <c r="G361" s="585"/>
      <c r="H361" s="551" t="s">
        <v>831</v>
      </c>
      <c r="I361" s="552">
        <v>1</v>
      </c>
      <c r="J361" s="553">
        <v>322.66000000000003</v>
      </c>
      <c r="K361" s="553">
        <v>322.66000000000003</v>
      </c>
    </row>
    <row r="362" spans="2:11" ht="30" x14ac:dyDescent="0.25">
      <c r="B362" s="558" t="s">
        <v>837</v>
      </c>
      <c r="C362" s="559" t="s">
        <v>947</v>
      </c>
      <c r="D362" s="558" t="s">
        <v>561</v>
      </c>
      <c r="E362" s="558" t="s">
        <v>948</v>
      </c>
      <c r="F362" s="586" t="s">
        <v>946</v>
      </c>
      <c r="G362" s="586"/>
      <c r="H362" s="560" t="s">
        <v>3</v>
      </c>
      <c r="I362" s="561">
        <v>0.2</v>
      </c>
      <c r="J362" s="562">
        <v>79.63</v>
      </c>
      <c r="K362" s="562">
        <v>15.92</v>
      </c>
    </row>
    <row r="363" spans="2:11" ht="30" x14ac:dyDescent="0.25">
      <c r="B363" s="558" t="s">
        <v>837</v>
      </c>
      <c r="C363" s="559" t="s">
        <v>991</v>
      </c>
      <c r="D363" s="558" t="s">
        <v>561</v>
      </c>
      <c r="E363" s="558" t="s">
        <v>992</v>
      </c>
      <c r="F363" s="586" t="s">
        <v>845</v>
      </c>
      <c r="G363" s="586"/>
      <c r="H363" s="560" t="s">
        <v>2</v>
      </c>
      <c r="I363" s="561">
        <v>1.1000000000000001</v>
      </c>
      <c r="J363" s="562">
        <v>182.51</v>
      </c>
      <c r="K363" s="562">
        <v>200.76</v>
      </c>
    </row>
    <row r="364" spans="2:11" ht="30" x14ac:dyDescent="0.25">
      <c r="B364" s="558" t="s">
        <v>837</v>
      </c>
      <c r="C364" s="559" t="s">
        <v>1033</v>
      </c>
      <c r="D364" s="558" t="s">
        <v>561</v>
      </c>
      <c r="E364" s="558" t="s">
        <v>1034</v>
      </c>
      <c r="F364" s="586" t="s">
        <v>845</v>
      </c>
      <c r="G364" s="586"/>
      <c r="H364" s="560" t="s">
        <v>3</v>
      </c>
      <c r="I364" s="561">
        <v>0.13700000000000001</v>
      </c>
      <c r="J364" s="562">
        <v>455.3</v>
      </c>
      <c r="K364" s="562">
        <v>62.37</v>
      </c>
    </row>
    <row r="365" spans="2:11" ht="30" x14ac:dyDescent="0.25">
      <c r="B365" s="558" t="s">
        <v>837</v>
      </c>
      <c r="C365" s="559" t="s">
        <v>841</v>
      </c>
      <c r="D365" s="558" t="s">
        <v>561</v>
      </c>
      <c r="E365" s="558" t="s">
        <v>842</v>
      </c>
      <c r="F365" s="586" t="s">
        <v>840</v>
      </c>
      <c r="G365" s="586"/>
      <c r="H365" s="560" t="s">
        <v>834</v>
      </c>
      <c r="I365" s="561">
        <v>2.4E-2</v>
      </c>
      <c r="J365" s="562">
        <v>20.13</v>
      </c>
      <c r="K365" s="562">
        <v>0.48</v>
      </c>
    </row>
    <row r="366" spans="2:11" ht="30" x14ac:dyDescent="0.25">
      <c r="B366" s="558" t="s">
        <v>837</v>
      </c>
      <c r="C366" s="559" t="s">
        <v>599</v>
      </c>
      <c r="D366" s="558" t="s">
        <v>561</v>
      </c>
      <c r="E366" s="558" t="s">
        <v>600</v>
      </c>
      <c r="F366" s="586" t="s">
        <v>946</v>
      </c>
      <c r="G366" s="586"/>
      <c r="H366" s="560" t="s">
        <v>2</v>
      </c>
      <c r="I366" s="561">
        <v>1</v>
      </c>
      <c r="J366" s="562">
        <v>5.84</v>
      </c>
      <c r="K366" s="562">
        <v>5.84</v>
      </c>
    </row>
    <row r="367" spans="2:11" ht="30" x14ac:dyDescent="0.25">
      <c r="B367" s="558" t="s">
        <v>837</v>
      </c>
      <c r="C367" s="559" t="s">
        <v>956</v>
      </c>
      <c r="D367" s="558" t="s">
        <v>561</v>
      </c>
      <c r="E367" s="558" t="s">
        <v>957</v>
      </c>
      <c r="F367" s="586" t="s">
        <v>845</v>
      </c>
      <c r="G367" s="586"/>
      <c r="H367" s="560" t="s">
        <v>3</v>
      </c>
      <c r="I367" s="561">
        <v>0.13700000000000001</v>
      </c>
      <c r="J367" s="562">
        <v>272.2</v>
      </c>
      <c r="K367" s="562">
        <v>37.29</v>
      </c>
    </row>
    <row r="368" spans="2:11" x14ac:dyDescent="0.25">
      <c r="B368" s="563"/>
      <c r="C368" s="563"/>
      <c r="D368" s="563"/>
      <c r="E368" s="563"/>
      <c r="F368" s="563" t="s">
        <v>857</v>
      </c>
      <c r="G368" s="564">
        <v>74.2</v>
      </c>
      <c r="H368" s="563" t="s">
        <v>858</v>
      </c>
      <c r="I368" s="564">
        <v>0</v>
      </c>
      <c r="J368" s="563" t="s">
        <v>859</v>
      </c>
      <c r="K368" s="564">
        <v>74.2</v>
      </c>
    </row>
    <row r="369" spans="2:11" ht="15.75" thickBot="1" x14ac:dyDescent="0.3">
      <c r="B369" s="563"/>
      <c r="C369" s="563"/>
      <c r="D369" s="563"/>
      <c r="E369" s="563"/>
      <c r="F369" s="563" t="s">
        <v>860</v>
      </c>
      <c r="G369" s="564">
        <v>66.790000000000006</v>
      </c>
      <c r="H369" s="563"/>
      <c r="I369" s="583" t="s">
        <v>861</v>
      </c>
      <c r="J369" s="583"/>
      <c r="K369" s="564">
        <v>389.45</v>
      </c>
    </row>
    <row r="370" spans="2:11" ht="15.75" thickTop="1" x14ac:dyDescent="0.25">
      <c r="B370" s="565"/>
      <c r="C370" s="565"/>
      <c r="D370" s="565"/>
      <c r="E370" s="565"/>
      <c r="F370" s="565"/>
      <c r="G370" s="565"/>
      <c r="H370" s="565"/>
      <c r="I370" s="565"/>
      <c r="J370" s="565"/>
      <c r="K370" s="565"/>
    </row>
    <row r="371" spans="2:11" x14ac:dyDescent="0.25">
      <c r="B371" s="555" t="s">
        <v>750</v>
      </c>
      <c r="C371" s="556" t="s">
        <v>116</v>
      </c>
      <c r="D371" s="555" t="s">
        <v>117</v>
      </c>
      <c r="E371" s="555" t="s">
        <v>118</v>
      </c>
      <c r="F371" s="584" t="s">
        <v>105</v>
      </c>
      <c r="G371" s="584"/>
      <c r="H371" s="557" t="s">
        <v>119</v>
      </c>
      <c r="I371" s="556" t="s">
        <v>120</v>
      </c>
      <c r="J371" s="556" t="s">
        <v>121</v>
      </c>
      <c r="K371" s="556" t="s">
        <v>0</v>
      </c>
    </row>
    <row r="372" spans="2:11" ht="30" x14ac:dyDescent="0.25">
      <c r="B372" s="549" t="s">
        <v>835</v>
      </c>
      <c r="C372" s="550" t="s">
        <v>751</v>
      </c>
      <c r="D372" s="549" t="s">
        <v>557</v>
      </c>
      <c r="E372" s="549" t="s">
        <v>752</v>
      </c>
      <c r="F372" s="585" t="s">
        <v>958</v>
      </c>
      <c r="G372" s="585"/>
      <c r="H372" s="551" t="s">
        <v>833</v>
      </c>
      <c r="I372" s="552">
        <v>1</v>
      </c>
      <c r="J372" s="553">
        <v>878.81</v>
      </c>
      <c r="K372" s="553">
        <v>878.81</v>
      </c>
    </row>
    <row r="373" spans="2:11" ht="30" x14ac:dyDescent="0.25">
      <c r="B373" s="558" t="s">
        <v>837</v>
      </c>
      <c r="C373" s="559" t="s">
        <v>841</v>
      </c>
      <c r="D373" s="558" t="s">
        <v>561</v>
      </c>
      <c r="E373" s="558" t="s">
        <v>842</v>
      </c>
      <c r="F373" s="586" t="s">
        <v>840</v>
      </c>
      <c r="G373" s="586"/>
      <c r="H373" s="560" t="s">
        <v>834</v>
      </c>
      <c r="I373" s="561">
        <v>0.28000000000000003</v>
      </c>
      <c r="J373" s="562">
        <v>20.13</v>
      </c>
      <c r="K373" s="562">
        <v>5.63</v>
      </c>
    </row>
    <row r="374" spans="2:11" ht="30" x14ac:dyDescent="0.25">
      <c r="B374" s="558" t="s">
        <v>837</v>
      </c>
      <c r="C374" s="559" t="s">
        <v>1033</v>
      </c>
      <c r="D374" s="558" t="s">
        <v>561</v>
      </c>
      <c r="E374" s="558" t="s">
        <v>1034</v>
      </c>
      <c r="F374" s="586" t="s">
        <v>845</v>
      </c>
      <c r="G374" s="586"/>
      <c r="H374" s="560" t="s">
        <v>3</v>
      </c>
      <c r="I374" s="561">
        <v>0.42</v>
      </c>
      <c r="J374" s="562">
        <v>455.3</v>
      </c>
      <c r="K374" s="562">
        <v>191.22</v>
      </c>
    </row>
    <row r="375" spans="2:11" ht="30" x14ac:dyDescent="0.25">
      <c r="B375" s="558" t="s">
        <v>837</v>
      </c>
      <c r="C375" s="559" t="s">
        <v>991</v>
      </c>
      <c r="D375" s="558" t="s">
        <v>561</v>
      </c>
      <c r="E375" s="558" t="s">
        <v>992</v>
      </c>
      <c r="F375" s="586" t="s">
        <v>845</v>
      </c>
      <c r="G375" s="586"/>
      <c r="H375" s="560" t="s">
        <v>2</v>
      </c>
      <c r="I375" s="561">
        <v>2.71</v>
      </c>
      <c r="J375" s="562">
        <v>182.51</v>
      </c>
      <c r="K375" s="562">
        <v>494.6</v>
      </c>
    </row>
    <row r="376" spans="2:11" ht="30" x14ac:dyDescent="0.25">
      <c r="B376" s="558" t="s">
        <v>837</v>
      </c>
      <c r="C376" s="559" t="s">
        <v>947</v>
      </c>
      <c r="D376" s="558" t="s">
        <v>561</v>
      </c>
      <c r="E376" s="558" t="s">
        <v>948</v>
      </c>
      <c r="F376" s="586" t="s">
        <v>946</v>
      </c>
      <c r="G376" s="586"/>
      <c r="H376" s="560" t="s">
        <v>3</v>
      </c>
      <c r="I376" s="561">
        <v>0.67</v>
      </c>
      <c r="J376" s="562">
        <v>79.63</v>
      </c>
      <c r="K376" s="562">
        <v>53.35</v>
      </c>
    </row>
    <row r="377" spans="2:11" ht="30" x14ac:dyDescent="0.25">
      <c r="B377" s="558" t="s">
        <v>837</v>
      </c>
      <c r="C377" s="559" t="s">
        <v>956</v>
      </c>
      <c r="D377" s="558" t="s">
        <v>561</v>
      </c>
      <c r="E377" s="558" t="s">
        <v>957</v>
      </c>
      <c r="F377" s="586" t="s">
        <v>845</v>
      </c>
      <c r="G377" s="586"/>
      <c r="H377" s="560" t="s">
        <v>3</v>
      </c>
      <c r="I377" s="561">
        <v>0.42</v>
      </c>
      <c r="J377" s="562">
        <v>272.2</v>
      </c>
      <c r="K377" s="562">
        <v>114.32</v>
      </c>
    </row>
    <row r="378" spans="2:11" ht="30" x14ac:dyDescent="0.25">
      <c r="B378" s="558" t="s">
        <v>846</v>
      </c>
      <c r="C378" s="559" t="s">
        <v>1045</v>
      </c>
      <c r="D378" s="558" t="s">
        <v>561</v>
      </c>
      <c r="E378" s="558" t="s">
        <v>1046</v>
      </c>
      <c r="F378" s="586" t="s">
        <v>849</v>
      </c>
      <c r="G378" s="586"/>
      <c r="H378" s="560" t="s">
        <v>3</v>
      </c>
      <c r="I378" s="561">
        <v>0.21</v>
      </c>
      <c r="J378" s="562">
        <v>93.79</v>
      </c>
      <c r="K378" s="562">
        <v>19.690000000000001</v>
      </c>
    </row>
    <row r="379" spans="2:11" x14ac:dyDescent="0.25">
      <c r="B379" s="563"/>
      <c r="C379" s="563"/>
      <c r="D379" s="563"/>
      <c r="E379" s="563"/>
      <c r="F379" s="563" t="s">
        <v>857</v>
      </c>
      <c r="G379" s="564">
        <v>205.44</v>
      </c>
      <c r="H379" s="563" t="s">
        <v>858</v>
      </c>
      <c r="I379" s="564">
        <v>0</v>
      </c>
      <c r="J379" s="563" t="s">
        <v>859</v>
      </c>
      <c r="K379" s="564">
        <v>205.44</v>
      </c>
    </row>
    <row r="380" spans="2:11" ht="15.75" thickBot="1" x14ac:dyDescent="0.3">
      <c r="B380" s="563"/>
      <c r="C380" s="563"/>
      <c r="D380" s="563"/>
      <c r="E380" s="563"/>
      <c r="F380" s="563" t="s">
        <v>860</v>
      </c>
      <c r="G380" s="564">
        <v>181.91</v>
      </c>
      <c r="H380" s="563"/>
      <c r="I380" s="583" t="s">
        <v>861</v>
      </c>
      <c r="J380" s="583"/>
      <c r="K380" s="564">
        <v>1060.72</v>
      </c>
    </row>
    <row r="381" spans="2:11" ht="15.75" thickTop="1" x14ac:dyDescent="0.25">
      <c r="B381" s="565"/>
      <c r="C381" s="565"/>
      <c r="D381" s="565"/>
      <c r="E381" s="565"/>
      <c r="F381" s="565"/>
      <c r="G381" s="565"/>
      <c r="H381" s="565"/>
      <c r="I381" s="565"/>
      <c r="J381" s="565"/>
      <c r="K381" s="565"/>
    </row>
    <row r="382" spans="2:11" x14ac:dyDescent="0.25">
      <c r="B382" s="555" t="s">
        <v>762</v>
      </c>
      <c r="C382" s="556" t="s">
        <v>116</v>
      </c>
      <c r="D382" s="555" t="s">
        <v>117</v>
      </c>
      <c r="E382" s="555" t="s">
        <v>118</v>
      </c>
      <c r="F382" s="584" t="s">
        <v>105</v>
      </c>
      <c r="G382" s="584"/>
      <c r="H382" s="557" t="s">
        <v>119</v>
      </c>
      <c r="I382" s="556" t="s">
        <v>120</v>
      </c>
      <c r="J382" s="556" t="s">
        <v>121</v>
      </c>
      <c r="K382" s="556" t="s">
        <v>0</v>
      </c>
    </row>
    <row r="383" spans="2:11" ht="30" x14ac:dyDescent="0.25">
      <c r="B383" s="549" t="s">
        <v>835</v>
      </c>
      <c r="C383" s="550" t="s">
        <v>763</v>
      </c>
      <c r="D383" s="549" t="s">
        <v>557</v>
      </c>
      <c r="E383" s="549" t="s">
        <v>764</v>
      </c>
      <c r="F383" s="585" t="s">
        <v>958</v>
      </c>
      <c r="G383" s="585"/>
      <c r="H383" s="551" t="s">
        <v>3</v>
      </c>
      <c r="I383" s="552">
        <v>1</v>
      </c>
      <c r="J383" s="553">
        <v>508.82</v>
      </c>
      <c r="K383" s="553">
        <v>508.82</v>
      </c>
    </row>
    <row r="384" spans="2:11" ht="30" x14ac:dyDescent="0.25">
      <c r="B384" s="558" t="s">
        <v>837</v>
      </c>
      <c r="C384" s="559" t="s">
        <v>980</v>
      </c>
      <c r="D384" s="558" t="s">
        <v>561</v>
      </c>
      <c r="E384" s="558" t="s">
        <v>981</v>
      </c>
      <c r="F384" s="586" t="s">
        <v>840</v>
      </c>
      <c r="G384" s="586"/>
      <c r="H384" s="560" t="s">
        <v>3</v>
      </c>
      <c r="I384" s="561">
        <v>0.3</v>
      </c>
      <c r="J384" s="562">
        <v>572.16999999999996</v>
      </c>
      <c r="K384" s="562">
        <v>171.65</v>
      </c>
    </row>
    <row r="385" spans="2:11" ht="30" x14ac:dyDescent="0.25">
      <c r="B385" s="558" t="s">
        <v>837</v>
      </c>
      <c r="C385" s="559" t="s">
        <v>1047</v>
      </c>
      <c r="D385" s="558" t="s">
        <v>561</v>
      </c>
      <c r="E385" s="558" t="s">
        <v>1048</v>
      </c>
      <c r="F385" s="586" t="s">
        <v>840</v>
      </c>
      <c r="G385" s="586"/>
      <c r="H385" s="560" t="s">
        <v>834</v>
      </c>
      <c r="I385" s="561">
        <v>6.5</v>
      </c>
      <c r="J385" s="562">
        <v>20.66</v>
      </c>
      <c r="K385" s="562">
        <v>134.29</v>
      </c>
    </row>
    <row r="386" spans="2:11" ht="30" x14ac:dyDescent="0.25">
      <c r="B386" s="558" t="s">
        <v>837</v>
      </c>
      <c r="C386" s="559" t="s">
        <v>978</v>
      </c>
      <c r="D386" s="558" t="s">
        <v>561</v>
      </c>
      <c r="E386" s="558" t="s">
        <v>979</v>
      </c>
      <c r="F386" s="586" t="s">
        <v>840</v>
      </c>
      <c r="G386" s="586"/>
      <c r="H386" s="560" t="s">
        <v>834</v>
      </c>
      <c r="I386" s="561">
        <v>4</v>
      </c>
      <c r="J386" s="562">
        <v>24.93</v>
      </c>
      <c r="K386" s="562">
        <v>99.72</v>
      </c>
    </row>
    <row r="387" spans="2:11" ht="30" x14ac:dyDescent="0.25">
      <c r="B387" s="558" t="s">
        <v>846</v>
      </c>
      <c r="C387" s="559" t="s">
        <v>1045</v>
      </c>
      <c r="D387" s="558" t="s">
        <v>561</v>
      </c>
      <c r="E387" s="558" t="s">
        <v>1046</v>
      </c>
      <c r="F387" s="586" t="s">
        <v>849</v>
      </c>
      <c r="G387" s="586"/>
      <c r="H387" s="560" t="s">
        <v>3</v>
      </c>
      <c r="I387" s="561">
        <v>1.1000000000000001</v>
      </c>
      <c r="J387" s="562">
        <v>93.79</v>
      </c>
      <c r="K387" s="562">
        <v>103.16</v>
      </c>
    </row>
    <row r="388" spans="2:11" x14ac:dyDescent="0.25">
      <c r="B388" s="563"/>
      <c r="C388" s="563"/>
      <c r="D388" s="563"/>
      <c r="E388" s="563"/>
      <c r="F388" s="563" t="s">
        <v>857</v>
      </c>
      <c r="G388" s="564">
        <v>199.69</v>
      </c>
      <c r="H388" s="563" t="s">
        <v>858</v>
      </c>
      <c r="I388" s="564">
        <v>0</v>
      </c>
      <c r="J388" s="563" t="s">
        <v>859</v>
      </c>
      <c r="K388" s="564">
        <v>199.69</v>
      </c>
    </row>
    <row r="389" spans="2:11" ht="15.75" thickBot="1" x14ac:dyDescent="0.3">
      <c r="B389" s="563"/>
      <c r="C389" s="563"/>
      <c r="D389" s="563"/>
      <c r="E389" s="563"/>
      <c r="F389" s="563" t="s">
        <v>860</v>
      </c>
      <c r="G389" s="564">
        <v>105.32</v>
      </c>
      <c r="H389" s="563"/>
      <c r="I389" s="583" t="s">
        <v>861</v>
      </c>
      <c r="J389" s="583"/>
      <c r="K389" s="564">
        <v>614.14</v>
      </c>
    </row>
    <row r="390" spans="2:11" ht="15.75" thickTop="1" x14ac:dyDescent="0.25">
      <c r="B390" s="565"/>
      <c r="C390" s="565"/>
      <c r="D390" s="565"/>
      <c r="E390" s="565"/>
      <c r="F390" s="565"/>
      <c r="G390" s="565"/>
      <c r="H390" s="565"/>
      <c r="I390" s="565"/>
      <c r="J390" s="565"/>
      <c r="K390" s="565"/>
    </row>
    <row r="391" spans="2:11" x14ac:dyDescent="0.25">
      <c r="B391" s="555" t="s">
        <v>795</v>
      </c>
      <c r="C391" s="556" t="s">
        <v>116</v>
      </c>
      <c r="D391" s="555" t="s">
        <v>117</v>
      </c>
      <c r="E391" s="555" t="s">
        <v>118</v>
      </c>
      <c r="F391" s="584" t="s">
        <v>105</v>
      </c>
      <c r="G391" s="584"/>
      <c r="H391" s="557" t="s">
        <v>119</v>
      </c>
      <c r="I391" s="556" t="s">
        <v>120</v>
      </c>
      <c r="J391" s="556" t="s">
        <v>121</v>
      </c>
      <c r="K391" s="556" t="s">
        <v>0</v>
      </c>
    </row>
    <row r="392" spans="2:11" ht="30" x14ac:dyDescent="0.25">
      <c r="B392" s="549" t="s">
        <v>835</v>
      </c>
      <c r="C392" s="550" t="s">
        <v>793</v>
      </c>
      <c r="D392" s="549" t="s">
        <v>557</v>
      </c>
      <c r="E392" s="549" t="s">
        <v>794</v>
      </c>
      <c r="F392" s="585" t="s">
        <v>958</v>
      </c>
      <c r="G392" s="585"/>
      <c r="H392" s="551" t="s">
        <v>831</v>
      </c>
      <c r="I392" s="552">
        <v>1</v>
      </c>
      <c r="J392" s="553">
        <v>91.36</v>
      </c>
      <c r="K392" s="553">
        <v>91.36</v>
      </c>
    </row>
    <row r="393" spans="2:11" ht="30" x14ac:dyDescent="0.25">
      <c r="B393" s="558" t="s">
        <v>837</v>
      </c>
      <c r="C393" s="559" t="s">
        <v>1033</v>
      </c>
      <c r="D393" s="558" t="s">
        <v>561</v>
      </c>
      <c r="E393" s="558" t="s">
        <v>1034</v>
      </c>
      <c r="F393" s="586" t="s">
        <v>845</v>
      </c>
      <c r="G393" s="586"/>
      <c r="H393" s="560" t="s">
        <v>3</v>
      </c>
      <c r="I393" s="561">
        <v>0.10249999999999999</v>
      </c>
      <c r="J393" s="562">
        <v>455.3</v>
      </c>
      <c r="K393" s="562">
        <v>46.66</v>
      </c>
    </row>
    <row r="394" spans="2:11" ht="30" x14ac:dyDescent="0.25">
      <c r="B394" s="558" t="s">
        <v>837</v>
      </c>
      <c r="C394" s="559" t="s">
        <v>1049</v>
      </c>
      <c r="D394" s="558" t="s">
        <v>561</v>
      </c>
      <c r="E394" s="558" t="s">
        <v>1050</v>
      </c>
      <c r="F394" s="586" t="s">
        <v>845</v>
      </c>
      <c r="G394" s="586"/>
      <c r="H394" s="560" t="s">
        <v>2</v>
      </c>
      <c r="I394" s="561">
        <v>0.1167</v>
      </c>
      <c r="J394" s="562">
        <v>77.53</v>
      </c>
      <c r="K394" s="562">
        <v>9.0399999999999991</v>
      </c>
    </row>
    <row r="395" spans="2:11" ht="30" x14ac:dyDescent="0.25">
      <c r="B395" s="558" t="s">
        <v>837</v>
      </c>
      <c r="C395" s="559" t="s">
        <v>947</v>
      </c>
      <c r="D395" s="558" t="s">
        <v>561</v>
      </c>
      <c r="E395" s="558" t="s">
        <v>948</v>
      </c>
      <c r="F395" s="586" t="s">
        <v>946</v>
      </c>
      <c r="G395" s="586"/>
      <c r="H395" s="560" t="s">
        <v>3</v>
      </c>
      <c r="I395" s="561">
        <v>9.7500000000000003E-2</v>
      </c>
      <c r="J395" s="562">
        <v>79.63</v>
      </c>
      <c r="K395" s="562">
        <v>7.76</v>
      </c>
    </row>
    <row r="396" spans="2:11" ht="30" x14ac:dyDescent="0.25">
      <c r="B396" s="558" t="s">
        <v>837</v>
      </c>
      <c r="C396" s="559" t="s">
        <v>956</v>
      </c>
      <c r="D396" s="558" t="s">
        <v>561</v>
      </c>
      <c r="E396" s="558" t="s">
        <v>957</v>
      </c>
      <c r="F396" s="586" t="s">
        <v>845</v>
      </c>
      <c r="G396" s="586"/>
      <c r="H396" s="560" t="s">
        <v>3</v>
      </c>
      <c r="I396" s="561">
        <v>0.10249999999999999</v>
      </c>
      <c r="J396" s="562">
        <v>272.2</v>
      </c>
      <c r="K396" s="562">
        <v>27.9</v>
      </c>
    </row>
    <row r="397" spans="2:11" x14ac:dyDescent="0.25">
      <c r="B397" s="563"/>
      <c r="C397" s="563"/>
      <c r="D397" s="563"/>
      <c r="E397" s="563"/>
      <c r="F397" s="563" t="s">
        <v>857</v>
      </c>
      <c r="G397" s="564">
        <v>33.56</v>
      </c>
      <c r="H397" s="563" t="s">
        <v>858</v>
      </c>
      <c r="I397" s="564">
        <v>0</v>
      </c>
      <c r="J397" s="563" t="s">
        <v>859</v>
      </c>
      <c r="K397" s="564">
        <v>33.56</v>
      </c>
    </row>
    <row r="398" spans="2:11" ht="15.75" thickBot="1" x14ac:dyDescent="0.3">
      <c r="B398" s="563"/>
      <c r="C398" s="563"/>
      <c r="D398" s="563"/>
      <c r="E398" s="563"/>
      <c r="F398" s="563" t="s">
        <v>860</v>
      </c>
      <c r="G398" s="564">
        <v>18.91</v>
      </c>
      <c r="H398" s="563"/>
      <c r="I398" s="583" t="s">
        <v>861</v>
      </c>
      <c r="J398" s="583"/>
      <c r="K398" s="564">
        <v>110.27</v>
      </c>
    </row>
    <row r="399" spans="2:11" ht="15.75" thickTop="1" x14ac:dyDescent="0.25">
      <c r="B399" s="565"/>
      <c r="C399" s="565"/>
      <c r="D399" s="565"/>
      <c r="E399" s="565"/>
      <c r="F399" s="565"/>
      <c r="G399" s="565"/>
      <c r="H399" s="565"/>
      <c r="I399" s="565"/>
      <c r="J399" s="565"/>
      <c r="K399" s="565"/>
    </row>
    <row r="400" spans="2:11" x14ac:dyDescent="0.25">
      <c r="B400" s="555" t="s">
        <v>796</v>
      </c>
      <c r="C400" s="556" t="s">
        <v>116</v>
      </c>
      <c r="D400" s="555" t="s">
        <v>117</v>
      </c>
      <c r="E400" s="555" t="s">
        <v>118</v>
      </c>
      <c r="F400" s="584" t="s">
        <v>105</v>
      </c>
      <c r="G400" s="584"/>
      <c r="H400" s="557" t="s">
        <v>119</v>
      </c>
      <c r="I400" s="556" t="s">
        <v>120</v>
      </c>
      <c r="J400" s="556" t="s">
        <v>121</v>
      </c>
      <c r="K400" s="556" t="s">
        <v>0</v>
      </c>
    </row>
    <row r="401" spans="2:11" ht="30" x14ac:dyDescent="0.25">
      <c r="B401" s="549" t="s">
        <v>835</v>
      </c>
      <c r="C401" s="550" t="s">
        <v>669</v>
      </c>
      <c r="D401" s="549" t="s">
        <v>557</v>
      </c>
      <c r="E401" s="549" t="s">
        <v>670</v>
      </c>
      <c r="F401" s="585" t="s">
        <v>958</v>
      </c>
      <c r="G401" s="585"/>
      <c r="H401" s="551" t="s">
        <v>4</v>
      </c>
      <c r="I401" s="552">
        <v>1</v>
      </c>
      <c r="J401" s="553">
        <v>44.33</v>
      </c>
      <c r="K401" s="553">
        <v>44.33</v>
      </c>
    </row>
    <row r="402" spans="2:11" ht="30" x14ac:dyDescent="0.25">
      <c r="B402" s="558" t="s">
        <v>837</v>
      </c>
      <c r="C402" s="559" t="s">
        <v>940</v>
      </c>
      <c r="D402" s="558" t="s">
        <v>561</v>
      </c>
      <c r="E402" s="558" t="s">
        <v>941</v>
      </c>
      <c r="F402" s="586" t="s">
        <v>845</v>
      </c>
      <c r="G402" s="586"/>
      <c r="H402" s="560" t="s">
        <v>3</v>
      </c>
      <c r="I402" s="561">
        <v>3.3399999999999999E-2</v>
      </c>
      <c r="J402" s="562">
        <v>468.5</v>
      </c>
      <c r="K402" s="562">
        <v>15.64</v>
      </c>
    </row>
    <row r="403" spans="2:11" ht="30" x14ac:dyDescent="0.25">
      <c r="B403" s="558" t="s">
        <v>837</v>
      </c>
      <c r="C403" s="559" t="s">
        <v>989</v>
      </c>
      <c r="D403" s="558" t="s">
        <v>557</v>
      </c>
      <c r="E403" s="558" t="s">
        <v>990</v>
      </c>
      <c r="F403" s="586" t="s">
        <v>946</v>
      </c>
      <c r="G403" s="586"/>
      <c r="H403" s="560" t="s">
        <v>3</v>
      </c>
      <c r="I403" s="561">
        <v>1.7999999999999999E-2</v>
      </c>
      <c r="J403" s="562">
        <v>53.68</v>
      </c>
      <c r="K403" s="562">
        <v>0.96</v>
      </c>
    </row>
    <row r="404" spans="2:11" ht="30" x14ac:dyDescent="0.25">
      <c r="B404" s="558" t="s">
        <v>837</v>
      </c>
      <c r="C404" s="559" t="s">
        <v>991</v>
      </c>
      <c r="D404" s="558" t="s">
        <v>561</v>
      </c>
      <c r="E404" s="558" t="s">
        <v>992</v>
      </c>
      <c r="F404" s="586" t="s">
        <v>845</v>
      </c>
      <c r="G404" s="586"/>
      <c r="H404" s="560" t="s">
        <v>2</v>
      </c>
      <c r="I404" s="561">
        <v>0.1</v>
      </c>
      <c r="J404" s="562">
        <v>182.51</v>
      </c>
      <c r="K404" s="562">
        <v>18.25</v>
      </c>
    </row>
    <row r="405" spans="2:11" ht="30" x14ac:dyDescent="0.25">
      <c r="B405" s="558" t="s">
        <v>837</v>
      </c>
      <c r="C405" s="559" t="s">
        <v>1322</v>
      </c>
      <c r="D405" s="558" t="s">
        <v>557</v>
      </c>
      <c r="E405" s="558" t="s">
        <v>993</v>
      </c>
      <c r="F405" s="586" t="s">
        <v>963</v>
      </c>
      <c r="G405" s="586"/>
      <c r="H405" s="560" t="s">
        <v>4</v>
      </c>
      <c r="I405" s="561">
        <v>1</v>
      </c>
      <c r="J405" s="562">
        <v>0.39</v>
      </c>
      <c r="K405" s="562">
        <v>0.39</v>
      </c>
    </row>
    <row r="406" spans="2:11" ht="30" x14ac:dyDescent="0.25">
      <c r="B406" s="558" t="s">
        <v>837</v>
      </c>
      <c r="C406" s="559" t="s">
        <v>956</v>
      </c>
      <c r="D406" s="558" t="s">
        <v>561</v>
      </c>
      <c r="E406" s="558" t="s">
        <v>957</v>
      </c>
      <c r="F406" s="586" t="s">
        <v>845</v>
      </c>
      <c r="G406" s="586"/>
      <c r="H406" s="560" t="s">
        <v>3</v>
      </c>
      <c r="I406" s="561">
        <v>3.3399999999999999E-2</v>
      </c>
      <c r="J406" s="562">
        <v>272.2</v>
      </c>
      <c r="K406" s="562">
        <v>9.09</v>
      </c>
    </row>
    <row r="407" spans="2:11" x14ac:dyDescent="0.25">
      <c r="B407" s="563"/>
      <c r="C407" s="563"/>
      <c r="D407" s="563"/>
      <c r="E407" s="563"/>
      <c r="F407" s="563" t="s">
        <v>857</v>
      </c>
      <c r="G407" s="564">
        <v>11.62</v>
      </c>
      <c r="H407" s="563" t="s">
        <v>858</v>
      </c>
      <c r="I407" s="564">
        <v>0</v>
      </c>
      <c r="J407" s="563" t="s">
        <v>859</v>
      </c>
      <c r="K407" s="564">
        <v>11.62</v>
      </c>
    </row>
    <row r="408" spans="2:11" ht="15.75" thickBot="1" x14ac:dyDescent="0.3">
      <c r="B408" s="563"/>
      <c r="C408" s="563"/>
      <c r="D408" s="563"/>
      <c r="E408" s="563"/>
      <c r="F408" s="563" t="s">
        <v>860</v>
      </c>
      <c r="G408" s="564">
        <v>9.17</v>
      </c>
      <c r="H408" s="563"/>
      <c r="I408" s="583" t="s">
        <v>861</v>
      </c>
      <c r="J408" s="583"/>
      <c r="K408" s="564">
        <v>53.5</v>
      </c>
    </row>
    <row r="409" spans="2:11" ht="15.75" thickTop="1" x14ac:dyDescent="0.25">
      <c r="B409" s="565"/>
      <c r="C409" s="565"/>
      <c r="D409" s="565"/>
      <c r="E409" s="565"/>
      <c r="F409" s="565"/>
      <c r="G409" s="565"/>
      <c r="H409" s="565"/>
      <c r="I409" s="565"/>
      <c r="J409" s="565"/>
      <c r="K409" s="565"/>
    </row>
    <row r="410" spans="2:11" x14ac:dyDescent="0.25">
      <c r="B410" s="555" t="s">
        <v>800</v>
      </c>
      <c r="C410" s="556" t="s">
        <v>116</v>
      </c>
      <c r="D410" s="555" t="s">
        <v>117</v>
      </c>
      <c r="E410" s="555" t="s">
        <v>118</v>
      </c>
      <c r="F410" s="584" t="s">
        <v>105</v>
      </c>
      <c r="G410" s="584"/>
      <c r="H410" s="557" t="s">
        <v>119</v>
      </c>
      <c r="I410" s="556" t="s">
        <v>120</v>
      </c>
      <c r="J410" s="556" t="s">
        <v>121</v>
      </c>
      <c r="K410" s="556" t="s">
        <v>0</v>
      </c>
    </row>
    <row r="411" spans="2:11" ht="30" x14ac:dyDescent="0.25">
      <c r="B411" s="549" t="s">
        <v>835</v>
      </c>
      <c r="C411" s="550" t="s">
        <v>798</v>
      </c>
      <c r="D411" s="549" t="s">
        <v>557</v>
      </c>
      <c r="E411" s="549" t="s">
        <v>799</v>
      </c>
      <c r="F411" s="585" t="s">
        <v>915</v>
      </c>
      <c r="G411" s="585"/>
      <c r="H411" s="551" t="s">
        <v>3</v>
      </c>
      <c r="I411" s="552">
        <v>1</v>
      </c>
      <c r="J411" s="553">
        <v>294.08999999999997</v>
      </c>
      <c r="K411" s="553">
        <v>294.08999999999997</v>
      </c>
    </row>
    <row r="412" spans="2:11" ht="30" x14ac:dyDescent="0.25">
      <c r="B412" s="558" t="s">
        <v>837</v>
      </c>
      <c r="C412" s="559" t="s">
        <v>978</v>
      </c>
      <c r="D412" s="558" t="s">
        <v>561</v>
      </c>
      <c r="E412" s="558" t="s">
        <v>979</v>
      </c>
      <c r="F412" s="586" t="s">
        <v>840</v>
      </c>
      <c r="G412" s="586"/>
      <c r="H412" s="560" t="s">
        <v>834</v>
      </c>
      <c r="I412" s="561">
        <v>1.3</v>
      </c>
      <c r="J412" s="562">
        <v>24.93</v>
      </c>
      <c r="K412" s="562">
        <v>32.4</v>
      </c>
    </row>
    <row r="413" spans="2:11" ht="30" x14ac:dyDescent="0.25">
      <c r="B413" s="558" t="s">
        <v>837</v>
      </c>
      <c r="C413" s="559" t="s">
        <v>841</v>
      </c>
      <c r="D413" s="558" t="s">
        <v>561</v>
      </c>
      <c r="E413" s="558" t="s">
        <v>842</v>
      </c>
      <c r="F413" s="586" t="s">
        <v>840</v>
      </c>
      <c r="G413" s="586"/>
      <c r="H413" s="560" t="s">
        <v>834</v>
      </c>
      <c r="I413" s="561">
        <v>13</v>
      </c>
      <c r="J413" s="562">
        <v>20.13</v>
      </c>
      <c r="K413" s="562">
        <v>261.69</v>
      </c>
    </row>
    <row r="414" spans="2:11" x14ac:dyDescent="0.25">
      <c r="B414" s="563"/>
      <c r="C414" s="563"/>
      <c r="D414" s="563"/>
      <c r="E414" s="563"/>
      <c r="F414" s="563" t="s">
        <v>857</v>
      </c>
      <c r="G414" s="564">
        <v>202.42</v>
      </c>
      <c r="H414" s="563" t="s">
        <v>858</v>
      </c>
      <c r="I414" s="564">
        <v>0</v>
      </c>
      <c r="J414" s="563" t="s">
        <v>859</v>
      </c>
      <c r="K414" s="564">
        <v>202.42</v>
      </c>
    </row>
    <row r="415" spans="2:11" ht="15.75" thickBot="1" x14ac:dyDescent="0.3">
      <c r="B415" s="563"/>
      <c r="C415" s="563"/>
      <c r="D415" s="563"/>
      <c r="E415" s="563"/>
      <c r="F415" s="563" t="s">
        <v>860</v>
      </c>
      <c r="G415" s="564">
        <v>60.87</v>
      </c>
      <c r="H415" s="563"/>
      <c r="I415" s="583" t="s">
        <v>861</v>
      </c>
      <c r="J415" s="583"/>
      <c r="K415" s="564">
        <v>354.96</v>
      </c>
    </row>
    <row r="416" spans="2:11" ht="15.75" thickTop="1" x14ac:dyDescent="0.25">
      <c r="B416" s="565"/>
      <c r="C416" s="565"/>
      <c r="D416" s="565"/>
      <c r="E416" s="565"/>
      <c r="F416" s="565"/>
      <c r="G416" s="565"/>
      <c r="H416" s="565"/>
      <c r="I416" s="565"/>
      <c r="J416" s="565"/>
      <c r="K416" s="565"/>
    </row>
    <row r="417" spans="2:11" x14ac:dyDescent="0.25">
      <c r="B417" s="555" t="s">
        <v>813</v>
      </c>
      <c r="C417" s="556" t="s">
        <v>116</v>
      </c>
      <c r="D417" s="555" t="s">
        <v>117</v>
      </c>
      <c r="E417" s="555" t="s">
        <v>118</v>
      </c>
      <c r="F417" s="584" t="s">
        <v>105</v>
      </c>
      <c r="G417" s="584"/>
      <c r="H417" s="557" t="s">
        <v>119</v>
      </c>
      <c r="I417" s="556" t="s">
        <v>120</v>
      </c>
      <c r="J417" s="556" t="s">
        <v>121</v>
      </c>
      <c r="K417" s="556" t="s">
        <v>0</v>
      </c>
    </row>
    <row r="418" spans="2:11" ht="45" x14ac:dyDescent="0.25">
      <c r="B418" s="549" t="s">
        <v>835</v>
      </c>
      <c r="C418" s="550" t="s">
        <v>814</v>
      </c>
      <c r="D418" s="549" t="s">
        <v>557</v>
      </c>
      <c r="E418" s="549" t="s">
        <v>815</v>
      </c>
      <c r="F418" s="585" t="s">
        <v>840</v>
      </c>
      <c r="G418" s="585"/>
      <c r="H418" s="551" t="s">
        <v>2</v>
      </c>
      <c r="I418" s="552">
        <v>1</v>
      </c>
      <c r="J418" s="553">
        <v>1335.87</v>
      </c>
      <c r="K418" s="553">
        <v>1335.87</v>
      </c>
    </row>
    <row r="419" spans="2:11" ht="30" x14ac:dyDescent="0.25">
      <c r="B419" s="558" t="s">
        <v>837</v>
      </c>
      <c r="C419" s="559" t="s">
        <v>1003</v>
      </c>
      <c r="D419" s="558" t="s">
        <v>557</v>
      </c>
      <c r="E419" s="558" t="s">
        <v>1004</v>
      </c>
      <c r="F419" s="586" t="s">
        <v>840</v>
      </c>
      <c r="G419" s="586"/>
      <c r="H419" s="560" t="s">
        <v>3</v>
      </c>
      <c r="I419" s="561">
        <v>0.05</v>
      </c>
      <c r="J419" s="562">
        <v>432.97</v>
      </c>
      <c r="K419" s="562">
        <v>21.64</v>
      </c>
    </row>
    <row r="420" spans="2:11" ht="60" x14ac:dyDescent="0.25">
      <c r="B420" s="558" t="s">
        <v>837</v>
      </c>
      <c r="C420" s="559" t="s">
        <v>909</v>
      </c>
      <c r="D420" s="558" t="s">
        <v>561</v>
      </c>
      <c r="E420" s="558" t="s">
        <v>910</v>
      </c>
      <c r="F420" s="586" t="s">
        <v>911</v>
      </c>
      <c r="G420" s="586"/>
      <c r="H420" s="560" t="s">
        <v>912</v>
      </c>
      <c r="I420" s="561">
        <v>0.01</v>
      </c>
      <c r="J420" s="562">
        <v>248.16</v>
      </c>
      <c r="K420" s="562">
        <v>2.48</v>
      </c>
    </row>
    <row r="421" spans="2:11" ht="30" x14ac:dyDescent="0.25">
      <c r="B421" s="558" t="s">
        <v>837</v>
      </c>
      <c r="C421" s="559" t="s">
        <v>841</v>
      </c>
      <c r="D421" s="558" t="s">
        <v>561</v>
      </c>
      <c r="E421" s="558" t="s">
        <v>842</v>
      </c>
      <c r="F421" s="586" t="s">
        <v>840</v>
      </c>
      <c r="G421" s="586"/>
      <c r="H421" s="560" t="s">
        <v>834</v>
      </c>
      <c r="I421" s="561">
        <v>0.75</v>
      </c>
      <c r="J421" s="562">
        <v>20.13</v>
      </c>
      <c r="K421" s="562">
        <v>15.09</v>
      </c>
    </row>
    <row r="422" spans="2:11" ht="30" x14ac:dyDescent="0.25">
      <c r="B422" s="558" t="s">
        <v>837</v>
      </c>
      <c r="C422" s="559" t="s">
        <v>947</v>
      </c>
      <c r="D422" s="558" t="s">
        <v>561</v>
      </c>
      <c r="E422" s="558" t="s">
        <v>948</v>
      </c>
      <c r="F422" s="586" t="s">
        <v>946</v>
      </c>
      <c r="G422" s="586"/>
      <c r="H422" s="560" t="s">
        <v>3</v>
      </c>
      <c r="I422" s="561">
        <v>0.05</v>
      </c>
      <c r="J422" s="562">
        <v>79.63</v>
      </c>
      <c r="K422" s="562">
        <v>3.98</v>
      </c>
    </row>
    <row r="423" spans="2:11" ht="30" x14ac:dyDescent="0.25">
      <c r="B423" s="558" t="s">
        <v>837</v>
      </c>
      <c r="C423" s="559" t="s">
        <v>956</v>
      </c>
      <c r="D423" s="558" t="s">
        <v>561</v>
      </c>
      <c r="E423" s="558" t="s">
        <v>957</v>
      </c>
      <c r="F423" s="586" t="s">
        <v>845</v>
      </c>
      <c r="G423" s="586"/>
      <c r="H423" s="560" t="s">
        <v>3</v>
      </c>
      <c r="I423" s="561">
        <v>0.05</v>
      </c>
      <c r="J423" s="562">
        <v>272.2</v>
      </c>
      <c r="K423" s="562">
        <v>13.61</v>
      </c>
    </row>
    <row r="424" spans="2:11" ht="30" x14ac:dyDescent="0.25">
      <c r="B424" s="558" t="s">
        <v>846</v>
      </c>
      <c r="C424" s="559" t="s">
        <v>1005</v>
      </c>
      <c r="D424" s="558" t="s">
        <v>561</v>
      </c>
      <c r="E424" s="558" t="s">
        <v>1006</v>
      </c>
      <c r="F424" s="586" t="s">
        <v>849</v>
      </c>
      <c r="G424" s="586"/>
      <c r="H424" s="560" t="s">
        <v>2</v>
      </c>
      <c r="I424" s="561">
        <v>1</v>
      </c>
      <c r="J424" s="562">
        <v>577.5</v>
      </c>
      <c r="K424" s="562">
        <v>577.5</v>
      </c>
    </row>
    <row r="425" spans="2:11" ht="30" x14ac:dyDescent="0.25">
      <c r="B425" s="558" t="s">
        <v>846</v>
      </c>
      <c r="C425" s="559" t="s">
        <v>1007</v>
      </c>
      <c r="D425" s="558" t="s">
        <v>561</v>
      </c>
      <c r="E425" s="558" t="s">
        <v>1008</v>
      </c>
      <c r="F425" s="586" t="s">
        <v>849</v>
      </c>
      <c r="G425" s="586"/>
      <c r="H425" s="560" t="s">
        <v>831</v>
      </c>
      <c r="I425" s="561">
        <v>8.33</v>
      </c>
      <c r="J425" s="562">
        <v>74.069999999999993</v>
      </c>
      <c r="K425" s="562">
        <v>617</v>
      </c>
    </row>
    <row r="426" spans="2:11" x14ac:dyDescent="0.25">
      <c r="B426" s="558" t="s">
        <v>846</v>
      </c>
      <c r="C426" s="559" t="s">
        <v>1009</v>
      </c>
      <c r="D426" s="558" t="s">
        <v>561</v>
      </c>
      <c r="E426" s="558" t="s">
        <v>1010</v>
      </c>
      <c r="F426" s="586" t="s">
        <v>849</v>
      </c>
      <c r="G426" s="586"/>
      <c r="H426" s="560" t="s">
        <v>833</v>
      </c>
      <c r="I426" s="561">
        <v>5.55</v>
      </c>
      <c r="J426" s="562">
        <v>0.2</v>
      </c>
      <c r="K426" s="562">
        <v>1.1100000000000001</v>
      </c>
    </row>
    <row r="427" spans="2:11" ht="30" x14ac:dyDescent="0.25">
      <c r="B427" s="558" t="s">
        <v>846</v>
      </c>
      <c r="C427" s="559" t="s">
        <v>1011</v>
      </c>
      <c r="D427" s="558" t="s">
        <v>561</v>
      </c>
      <c r="E427" s="558" t="s">
        <v>1012</v>
      </c>
      <c r="F427" s="586" t="s">
        <v>849</v>
      </c>
      <c r="G427" s="586"/>
      <c r="H427" s="560" t="s">
        <v>833</v>
      </c>
      <c r="I427" s="561">
        <v>5.55</v>
      </c>
      <c r="J427" s="562">
        <v>1.79</v>
      </c>
      <c r="K427" s="562">
        <v>9.93</v>
      </c>
    </row>
    <row r="428" spans="2:11" ht="30" x14ac:dyDescent="0.25">
      <c r="B428" s="558" t="s">
        <v>846</v>
      </c>
      <c r="C428" s="559" t="s">
        <v>1013</v>
      </c>
      <c r="D428" s="558" t="s">
        <v>561</v>
      </c>
      <c r="E428" s="558" t="s">
        <v>1014</v>
      </c>
      <c r="F428" s="586" t="s">
        <v>849</v>
      </c>
      <c r="G428" s="586"/>
      <c r="H428" s="560" t="s">
        <v>833</v>
      </c>
      <c r="I428" s="561">
        <v>5.55</v>
      </c>
      <c r="J428" s="562">
        <v>13.25</v>
      </c>
      <c r="K428" s="562">
        <v>73.53</v>
      </c>
    </row>
    <row r="429" spans="2:11" x14ac:dyDescent="0.25">
      <c r="B429" s="563"/>
      <c r="C429" s="563"/>
      <c r="D429" s="563"/>
      <c r="E429" s="563"/>
      <c r="F429" s="563" t="s">
        <v>857</v>
      </c>
      <c r="G429" s="564">
        <v>26.85</v>
      </c>
      <c r="H429" s="563" t="s">
        <v>858</v>
      </c>
      <c r="I429" s="564">
        <v>0</v>
      </c>
      <c r="J429" s="563" t="s">
        <v>859</v>
      </c>
      <c r="K429" s="564">
        <v>26.85</v>
      </c>
    </row>
    <row r="430" spans="2:11" ht="15.75" thickBot="1" x14ac:dyDescent="0.3">
      <c r="B430" s="563"/>
      <c r="C430" s="563"/>
      <c r="D430" s="563"/>
      <c r="E430" s="563"/>
      <c r="F430" s="563" t="s">
        <v>860</v>
      </c>
      <c r="G430" s="564">
        <v>276.52</v>
      </c>
      <c r="H430" s="563"/>
      <c r="I430" s="583" t="s">
        <v>861</v>
      </c>
      <c r="J430" s="583"/>
      <c r="K430" s="564">
        <v>1612.39</v>
      </c>
    </row>
    <row r="431" spans="2:11" ht="15.75" thickTop="1" x14ac:dyDescent="0.25">
      <c r="B431" s="565"/>
      <c r="C431" s="565"/>
      <c r="D431" s="565"/>
      <c r="E431" s="565"/>
      <c r="F431" s="565"/>
      <c r="G431" s="565"/>
      <c r="H431" s="565"/>
      <c r="I431" s="565"/>
      <c r="J431" s="565"/>
      <c r="K431" s="565"/>
    </row>
    <row r="432" spans="2:11" x14ac:dyDescent="0.25">
      <c r="B432" s="589" t="s">
        <v>1051</v>
      </c>
      <c r="C432" s="590"/>
      <c r="D432" s="590"/>
      <c r="E432" s="590"/>
      <c r="F432" s="590"/>
      <c r="G432" s="590"/>
      <c r="H432" s="590"/>
      <c r="I432" s="590"/>
      <c r="J432" s="590"/>
      <c r="K432" s="590"/>
    </row>
    <row r="433" spans="2:11" x14ac:dyDescent="0.25">
      <c r="B433" s="555"/>
      <c r="C433" s="556" t="s">
        <v>116</v>
      </c>
      <c r="D433" s="555" t="s">
        <v>117</v>
      </c>
      <c r="E433" s="555" t="s">
        <v>118</v>
      </c>
      <c r="F433" s="584" t="s">
        <v>105</v>
      </c>
      <c r="G433" s="584"/>
      <c r="H433" s="557" t="s">
        <v>119</v>
      </c>
      <c r="I433" s="556" t="s">
        <v>120</v>
      </c>
      <c r="J433" s="556" t="s">
        <v>121</v>
      </c>
      <c r="K433" s="556" t="s">
        <v>0</v>
      </c>
    </row>
    <row r="434" spans="2:11" ht="30" x14ac:dyDescent="0.25">
      <c r="B434" s="549" t="s">
        <v>835</v>
      </c>
      <c r="C434" s="550" t="s">
        <v>1003</v>
      </c>
      <c r="D434" s="549" t="s">
        <v>557</v>
      </c>
      <c r="E434" s="549" t="s">
        <v>1004</v>
      </c>
      <c r="F434" s="585" t="s">
        <v>840</v>
      </c>
      <c r="G434" s="585"/>
      <c r="H434" s="551" t="s">
        <v>3</v>
      </c>
      <c r="I434" s="552">
        <v>1</v>
      </c>
      <c r="J434" s="553">
        <v>432.97</v>
      </c>
      <c r="K434" s="553">
        <v>432.97</v>
      </c>
    </row>
    <row r="435" spans="2:11" ht="45" x14ac:dyDescent="0.25">
      <c r="B435" s="558" t="s">
        <v>837</v>
      </c>
      <c r="C435" s="559" t="s">
        <v>1052</v>
      </c>
      <c r="D435" s="558" t="s">
        <v>561</v>
      </c>
      <c r="E435" s="558" t="s">
        <v>1053</v>
      </c>
      <c r="F435" s="586" t="s">
        <v>911</v>
      </c>
      <c r="G435" s="586"/>
      <c r="H435" s="560" t="s">
        <v>912</v>
      </c>
      <c r="I435" s="561">
        <v>0.71399999999999997</v>
      </c>
      <c r="J435" s="562">
        <v>2.09</v>
      </c>
      <c r="K435" s="562">
        <v>1.49</v>
      </c>
    </row>
    <row r="436" spans="2:11" ht="30" x14ac:dyDescent="0.25">
      <c r="B436" s="558" t="s">
        <v>837</v>
      </c>
      <c r="C436" s="559" t="s">
        <v>841</v>
      </c>
      <c r="D436" s="558" t="s">
        <v>561</v>
      </c>
      <c r="E436" s="558" t="s">
        <v>842</v>
      </c>
      <c r="F436" s="586" t="s">
        <v>840</v>
      </c>
      <c r="G436" s="586"/>
      <c r="H436" s="560" t="s">
        <v>834</v>
      </c>
      <c r="I436" s="561">
        <v>6</v>
      </c>
      <c r="J436" s="562">
        <v>20.13</v>
      </c>
      <c r="K436" s="562">
        <v>120.78</v>
      </c>
    </row>
    <row r="437" spans="2:11" ht="30" x14ac:dyDescent="0.25">
      <c r="B437" s="558" t="s">
        <v>846</v>
      </c>
      <c r="C437" s="559" t="s">
        <v>1054</v>
      </c>
      <c r="D437" s="558" t="s">
        <v>561</v>
      </c>
      <c r="E437" s="558" t="s">
        <v>1055</v>
      </c>
      <c r="F437" s="586" t="s">
        <v>849</v>
      </c>
      <c r="G437" s="586"/>
      <c r="H437" s="560" t="s">
        <v>3</v>
      </c>
      <c r="I437" s="561">
        <v>0.57999999999999996</v>
      </c>
      <c r="J437" s="562">
        <v>96.24</v>
      </c>
      <c r="K437" s="562">
        <v>55.81</v>
      </c>
    </row>
    <row r="438" spans="2:11" x14ac:dyDescent="0.25">
      <c r="B438" s="558" t="s">
        <v>846</v>
      </c>
      <c r="C438" s="559" t="s">
        <v>1056</v>
      </c>
      <c r="D438" s="558" t="s">
        <v>561</v>
      </c>
      <c r="E438" s="558" t="s">
        <v>1057</v>
      </c>
      <c r="F438" s="586" t="s">
        <v>849</v>
      </c>
      <c r="G438" s="586"/>
      <c r="H438" s="560" t="s">
        <v>856</v>
      </c>
      <c r="I438" s="561">
        <v>210</v>
      </c>
      <c r="J438" s="562">
        <v>0.76</v>
      </c>
      <c r="K438" s="562">
        <v>159.6</v>
      </c>
    </row>
    <row r="439" spans="2:11" ht="30" x14ac:dyDescent="0.25">
      <c r="B439" s="558" t="s">
        <v>846</v>
      </c>
      <c r="C439" s="559" t="s">
        <v>1058</v>
      </c>
      <c r="D439" s="558" t="s">
        <v>561</v>
      </c>
      <c r="E439" s="558" t="s">
        <v>1059</v>
      </c>
      <c r="F439" s="586" t="s">
        <v>849</v>
      </c>
      <c r="G439" s="586"/>
      <c r="H439" s="560" t="s">
        <v>3</v>
      </c>
      <c r="I439" s="561">
        <v>0.95</v>
      </c>
      <c r="J439" s="562">
        <v>100.31</v>
      </c>
      <c r="K439" s="562">
        <v>95.29</v>
      </c>
    </row>
    <row r="440" spans="2:11" x14ac:dyDescent="0.25">
      <c r="B440" s="563"/>
      <c r="C440" s="563"/>
      <c r="D440" s="563"/>
      <c r="E440" s="563"/>
      <c r="F440" s="563" t="s">
        <v>857</v>
      </c>
      <c r="G440" s="564">
        <v>82.38</v>
      </c>
      <c r="H440" s="563" t="s">
        <v>858</v>
      </c>
      <c r="I440" s="564">
        <v>0</v>
      </c>
      <c r="J440" s="563" t="s">
        <v>859</v>
      </c>
      <c r="K440" s="564">
        <v>82.38</v>
      </c>
    </row>
    <row r="441" spans="2:11" ht="15.75" thickBot="1" x14ac:dyDescent="0.3">
      <c r="B441" s="563"/>
      <c r="C441" s="563"/>
      <c r="D441" s="563"/>
      <c r="E441" s="563"/>
      <c r="F441" s="563" t="s">
        <v>860</v>
      </c>
      <c r="G441" s="564">
        <v>89.62</v>
      </c>
      <c r="H441" s="563"/>
      <c r="I441" s="583" t="s">
        <v>861</v>
      </c>
      <c r="J441" s="583"/>
      <c r="K441" s="564">
        <v>522.59</v>
      </c>
    </row>
    <row r="442" spans="2:11" ht="15.75" thickTop="1" x14ac:dyDescent="0.25">
      <c r="B442" s="565"/>
      <c r="C442" s="565"/>
      <c r="D442" s="565"/>
      <c r="E442" s="565"/>
      <c r="F442" s="565"/>
      <c r="G442" s="565"/>
      <c r="H442" s="565"/>
      <c r="I442" s="565"/>
      <c r="J442" s="565"/>
      <c r="K442" s="565"/>
    </row>
    <row r="443" spans="2:11" x14ac:dyDescent="0.25">
      <c r="B443" s="555"/>
      <c r="C443" s="556" t="s">
        <v>116</v>
      </c>
      <c r="D443" s="555" t="s">
        <v>117</v>
      </c>
      <c r="E443" s="555" t="s">
        <v>118</v>
      </c>
      <c r="F443" s="584" t="s">
        <v>105</v>
      </c>
      <c r="G443" s="584"/>
      <c r="H443" s="557" t="s">
        <v>119</v>
      </c>
      <c r="I443" s="556" t="s">
        <v>120</v>
      </c>
      <c r="J443" s="556" t="s">
        <v>121</v>
      </c>
      <c r="K443" s="556" t="s">
        <v>0</v>
      </c>
    </row>
    <row r="444" spans="2:11" ht="30" x14ac:dyDescent="0.25">
      <c r="B444" s="549" t="s">
        <v>835</v>
      </c>
      <c r="C444" s="550" t="s">
        <v>985</v>
      </c>
      <c r="D444" s="549" t="s">
        <v>557</v>
      </c>
      <c r="E444" s="549" t="s">
        <v>986</v>
      </c>
      <c r="F444" s="585" t="s">
        <v>946</v>
      </c>
      <c r="G444" s="585"/>
      <c r="H444" s="551" t="s">
        <v>3</v>
      </c>
      <c r="I444" s="552">
        <v>1</v>
      </c>
      <c r="J444" s="553">
        <v>40.26</v>
      </c>
      <c r="K444" s="553">
        <v>40.26</v>
      </c>
    </row>
    <row r="445" spans="2:11" ht="30" x14ac:dyDescent="0.25">
      <c r="B445" s="558" t="s">
        <v>837</v>
      </c>
      <c r="C445" s="559" t="s">
        <v>841</v>
      </c>
      <c r="D445" s="558" t="s">
        <v>561</v>
      </c>
      <c r="E445" s="558" t="s">
        <v>842</v>
      </c>
      <c r="F445" s="586" t="s">
        <v>840</v>
      </c>
      <c r="G445" s="586"/>
      <c r="H445" s="560" t="s">
        <v>834</v>
      </c>
      <c r="I445" s="561">
        <v>2</v>
      </c>
      <c r="J445" s="562">
        <v>20.13</v>
      </c>
      <c r="K445" s="562">
        <v>40.26</v>
      </c>
    </row>
    <row r="446" spans="2:11" x14ac:dyDescent="0.25">
      <c r="B446" s="563"/>
      <c r="C446" s="563"/>
      <c r="D446" s="563"/>
      <c r="E446" s="563"/>
      <c r="F446" s="563" t="s">
        <v>857</v>
      </c>
      <c r="G446" s="564">
        <v>27.46</v>
      </c>
      <c r="H446" s="563" t="s">
        <v>858</v>
      </c>
      <c r="I446" s="564">
        <v>0</v>
      </c>
      <c r="J446" s="563" t="s">
        <v>859</v>
      </c>
      <c r="K446" s="564">
        <v>27.46</v>
      </c>
    </row>
    <row r="447" spans="2:11" ht="15.75" thickBot="1" x14ac:dyDescent="0.3">
      <c r="B447" s="563"/>
      <c r="C447" s="563"/>
      <c r="D447" s="563"/>
      <c r="E447" s="563"/>
      <c r="F447" s="563" t="s">
        <v>860</v>
      </c>
      <c r="G447" s="564">
        <v>8.33</v>
      </c>
      <c r="H447" s="563"/>
      <c r="I447" s="583" t="s">
        <v>861</v>
      </c>
      <c r="J447" s="583"/>
      <c r="K447" s="564">
        <v>48.59</v>
      </c>
    </row>
    <row r="448" spans="2:11" ht="15.75" thickTop="1" x14ac:dyDescent="0.25">
      <c r="B448" s="565"/>
      <c r="C448" s="565"/>
      <c r="D448" s="565"/>
      <c r="E448" s="565"/>
      <c r="F448" s="565"/>
      <c r="G448" s="565"/>
      <c r="H448" s="565"/>
      <c r="I448" s="565"/>
      <c r="J448" s="565"/>
      <c r="K448" s="565"/>
    </row>
    <row r="449" spans="2:11" x14ac:dyDescent="0.25">
      <c r="B449" s="555"/>
      <c r="C449" s="556" t="s">
        <v>116</v>
      </c>
      <c r="D449" s="555" t="s">
        <v>117</v>
      </c>
      <c r="E449" s="555" t="s">
        <v>118</v>
      </c>
      <c r="F449" s="584" t="s">
        <v>105</v>
      </c>
      <c r="G449" s="584"/>
      <c r="H449" s="557" t="s">
        <v>119</v>
      </c>
      <c r="I449" s="556" t="s">
        <v>120</v>
      </c>
      <c r="J449" s="556" t="s">
        <v>121</v>
      </c>
      <c r="K449" s="556" t="s">
        <v>0</v>
      </c>
    </row>
    <row r="450" spans="2:11" ht="30" x14ac:dyDescent="0.25">
      <c r="B450" s="549" t="s">
        <v>835</v>
      </c>
      <c r="C450" s="550" t="s">
        <v>989</v>
      </c>
      <c r="D450" s="549" t="s">
        <v>557</v>
      </c>
      <c r="E450" s="549" t="s">
        <v>990</v>
      </c>
      <c r="F450" s="585" t="s">
        <v>946</v>
      </c>
      <c r="G450" s="585"/>
      <c r="H450" s="551" t="s">
        <v>3</v>
      </c>
      <c r="I450" s="552">
        <v>1</v>
      </c>
      <c r="J450" s="553">
        <v>53.68</v>
      </c>
      <c r="K450" s="553">
        <v>53.68</v>
      </c>
    </row>
    <row r="451" spans="2:11" ht="30" x14ac:dyDescent="0.25">
      <c r="B451" s="558" t="s">
        <v>837</v>
      </c>
      <c r="C451" s="559" t="s">
        <v>841</v>
      </c>
      <c r="D451" s="558" t="s">
        <v>561</v>
      </c>
      <c r="E451" s="558" t="s">
        <v>842</v>
      </c>
      <c r="F451" s="586" t="s">
        <v>840</v>
      </c>
      <c r="G451" s="586"/>
      <c r="H451" s="560" t="s">
        <v>834</v>
      </c>
      <c r="I451" s="561">
        <v>2.6666666999999999</v>
      </c>
      <c r="J451" s="562">
        <v>20.13</v>
      </c>
      <c r="K451" s="562">
        <v>53.68</v>
      </c>
    </row>
    <row r="452" spans="2:11" x14ac:dyDescent="0.25">
      <c r="B452" s="563"/>
      <c r="C452" s="563"/>
      <c r="D452" s="563"/>
      <c r="E452" s="563"/>
      <c r="F452" s="563" t="s">
        <v>857</v>
      </c>
      <c r="G452" s="564">
        <v>36.61</v>
      </c>
      <c r="H452" s="563" t="s">
        <v>858</v>
      </c>
      <c r="I452" s="564">
        <v>0</v>
      </c>
      <c r="J452" s="563" t="s">
        <v>859</v>
      </c>
      <c r="K452" s="564">
        <v>36.61</v>
      </c>
    </row>
    <row r="453" spans="2:11" ht="15.75" thickBot="1" x14ac:dyDescent="0.3">
      <c r="B453" s="563"/>
      <c r="C453" s="563"/>
      <c r="D453" s="563"/>
      <c r="E453" s="563"/>
      <c r="F453" s="563" t="s">
        <v>860</v>
      </c>
      <c r="G453" s="564">
        <v>11.11</v>
      </c>
      <c r="H453" s="563"/>
      <c r="I453" s="583" t="s">
        <v>861</v>
      </c>
      <c r="J453" s="583"/>
      <c r="K453" s="564">
        <v>64.790000000000006</v>
      </c>
    </row>
    <row r="454" spans="2:11" ht="15.75" thickTop="1" x14ac:dyDescent="0.25">
      <c r="B454" s="565"/>
      <c r="C454" s="565"/>
      <c r="D454" s="565"/>
      <c r="E454" s="565"/>
      <c r="F454" s="565"/>
      <c r="G454" s="565"/>
      <c r="H454" s="565"/>
      <c r="I454" s="565"/>
      <c r="J454" s="565"/>
      <c r="K454" s="565"/>
    </row>
    <row r="455" spans="2:11" x14ac:dyDescent="0.25">
      <c r="B455" s="555"/>
      <c r="C455" s="556" t="s">
        <v>116</v>
      </c>
      <c r="D455" s="555" t="s">
        <v>117</v>
      </c>
      <c r="E455" s="555" t="s">
        <v>118</v>
      </c>
      <c r="F455" s="584" t="s">
        <v>105</v>
      </c>
      <c r="G455" s="584"/>
      <c r="H455" s="557" t="s">
        <v>119</v>
      </c>
      <c r="I455" s="556" t="s">
        <v>120</v>
      </c>
      <c r="J455" s="556" t="s">
        <v>121</v>
      </c>
      <c r="K455" s="556" t="s">
        <v>0</v>
      </c>
    </row>
    <row r="456" spans="2:11" ht="30" x14ac:dyDescent="0.25">
      <c r="B456" s="549" t="s">
        <v>835</v>
      </c>
      <c r="C456" s="550" t="s">
        <v>907</v>
      </c>
      <c r="D456" s="549" t="s">
        <v>557</v>
      </c>
      <c r="E456" s="549" t="s">
        <v>908</v>
      </c>
      <c r="F456" s="585" t="s">
        <v>906</v>
      </c>
      <c r="G456" s="585"/>
      <c r="H456" s="551" t="s">
        <v>833</v>
      </c>
      <c r="I456" s="552">
        <v>1</v>
      </c>
      <c r="J456" s="553">
        <v>63.37</v>
      </c>
      <c r="K456" s="553">
        <v>63.37</v>
      </c>
    </row>
    <row r="457" spans="2:11" ht="30" x14ac:dyDescent="0.25">
      <c r="B457" s="558" t="s">
        <v>837</v>
      </c>
      <c r="C457" s="559" t="s">
        <v>1060</v>
      </c>
      <c r="D457" s="558" t="s">
        <v>561</v>
      </c>
      <c r="E457" s="558" t="s">
        <v>1061</v>
      </c>
      <c r="F457" s="586" t="s">
        <v>840</v>
      </c>
      <c r="G457" s="586"/>
      <c r="H457" s="560" t="s">
        <v>834</v>
      </c>
      <c r="I457" s="561">
        <v>0.6</v>
      </c>
      <c r="J457" s="562">
        <v>24.18</v>
      </c>
      <c r="K457" s="562">
        <v>14.5</v>
      </c>
    </row>
    <row r="458" spans="2:11" ht="30" x14ac:dyDescent="0.25">
      <c r="B458" s="558" t="s">
        <v>837</v>
      </c>
      <c r="C458" s="559" t="s">
        <v>841</v>
      </c>
      <c r="D458" s="558" t="s">
        <v>561</v>
      </c>
      <c r="E458" s="558" t="s">
        <v>842</v>
      </c>
      <c r="F458" s="586" t="s">
        <v>840</v>
      </c>
      <c r="G458" s="586"/>
      <c r="H458" s="560" t="s">
        <v>834</v>
      </c>
      <c r="I458" s="561">
        <v>0.6</v>
      </c>
      <c r="J458" s="562">
        <v>20.13</v>
      </c>
      <c r="K458" s="562">
        <v>12.07</v>
      </c>
    </row>
    <row r="459" spans="2:11" ht="30" x14ac:dyDescent="0.25">
      <c r="B459" s="558" t="s">
        <v>846</v>
      </c>
      <c r="C459" s="559" t="s">
        <v>1062</v>
      </c>
      <c r="D459" s="558" t="s">
        <v>561</v>
      </c>
      <c r="E459" s="558" t="s">
        <v>1063</v>
      </c>
      <c r="F459" s="586" t="s">
        <v>849</v>
      </c>
      <c r="G459" s="586"/>
      <c r="H459" s="560" t="s">
        <v>833</v>
      </c>
      <c r="I459" s="561">
        <v>1</v>
      </c>
      <c r="J459" s="562">
        <v>12.51</v>
      </c>
      <c r="K459" s="562">
        <v>12.51</v>
      </c>
    </row>
    <row r="460" spans="2:11" x14ac:dyDescent="0.25">
      <c r="B460" s="558" t="s">
        <v>846</v>
      </c>
      <c r="C460" s="559" t="s">
        <v>1064</v>
      </c>
      <c r="D460" s="558" t="s">
        <v>561</v>
      </c>
      <c r="E460" s="558" t="s">
        <v>1065</v>
      </c>
      <c r="F460" s="586" t="s">
        <v>849</v>
      </c>
      <c r="G460" s="586"/>
      <c r="H460" s="560" t="s">
        <v>833</v>
      </c>
      <c r="I460" s="561">
        <v>8.9999999999999993E-3</v>
      </c>
      <c r="J460" s="562">
        <v>16.190000000000001</v>
      </c>
      <c r="K460" s="562">
        <v>0.14000000000000001</v>
      </c>
    </row>
    <row r="461" spans="2:11" x14ac:dyDescent="0.25">
      <c r="B461" s="558" t="s">
        <v>846</v>
      </c>
      <c r="C461" s="559" t="s">
        <v>1066</v>
      </c>
      <c r="D461" s="558" t="s">
        <v>561</v>
      </c>
      <c r="E461" s="558" t="s">
        <v>1067</v>
      </c>
      <c r="F461" s="586" t="s">
        <v>849</v>
      </c>
      <c r="G461" s="586"/>
      <c r="H461" s="560" t="s">
        <v>833</v>
      </c>
      <c r="I461" s="561">
        <v>1</v>
      </c>
      <c r="J461" s="562">
        <v>5.79</v>
      </c>
      <c r="K461" s="562">
        <v>5.79</v>
      </c>
    </row>
    <row r="462" spans="2:11" ht="30" x14ac:dyDescent="0.25">
      <c r="B462" s="558" t="s">
        <v>846</v>
      </c>
      <c r="C462" s="559" t="s">
        <v>1068</v>
      </c>
      <c r="D462" s="558" t="s">
        <v>561</v>
      </c>
      <c r="E462" s="558" t="s">
        <v>1069</v>
      </c>
      <c r="F462" s="586" t="s">
        <v>849</v>
      </c>
      <c r="G462" s="586"/>
      <c r="H462" s="560" t="s">
        <v>833</v>
      </c>
      <c r="I462" s="561">
        <v>1</v>
      </c>
      <c r="J462" s="562">
        <v>18.36</v>
      </c>
      <c r="K462" s="562">
        <v>18.36</v>
      </c>
    </row>
    <row r="463" spans="2:11" x14ac:dyDescent="0.25">
      <c r="B463" s="563"/>
      <c r="C463" s="563"/>
      <c r="D463" s="563"/>
      <c r="E463" s="563"/>
      <c r="F463" s="563" t="s">
        <v>857</v>
      </c>
      <c r="G463" s="564">
        <v>19.239999999999998</v>
      </c>
      <c r="H463" s="563" t="s">
        <v>858</v>
      </c>
      <c r="I463" s="564">
        <v>0</v>
      </c>
      <c r="J463" s="563" t="s">
        <v>859</v>
      </c>
      <c r="K463" s="564">
        <v>19.239999999999998</v>
      </c>
    </row>
    <row r="464" spans="2:11" ht="15.75" thickBot="1" x14ac:dyDescent="0.3">
      <c r="B464" s="563"/>
      <c r="C464" s="563"/>
      <c r="D464" s="563"/>
      <c r="E464" s="563"/>
      <c r="F464" s="563" t="s">
        <v>860</v>
      </c>
      <c r="G464" s="564">
        <v>13.11</v>
      </c>
      <c r="H464" s="563"/>
      <c r="I464" s="583" t="s">
        <v>861</v>
      </c>
      <c r="J464" s="583"/>
      <c r="K464" s="564">
        <v>76.48</v>
      </c>
    </row>
    <row r="465" spans="2:11" ht="15.75" thickTop="1" x14ac:dyDescent="0.25">
      <c r="B465" s="565"/>
      <c r="C465" s="565"/>
      <c r="D465" s="565"/>
      <c r="E465" s="565"/>
      <c r="F465" s="565"/>
      <c r="G465" s="565"/>
      <c r="H465" s="565"/>
      <c r="I465" s="565"/>
      <c r="J465" s="565"/>
      <c r="K465" s="565"/>
    </row>
    <row r="466" spans="2:11" x14ac:dyDescent="0.25">
      <c r="B466" s="555"/>
      <c r="C466" s="556" t="s">
        <v>116</v>
      </c>
      <c r="D466" s="555" t="s">
        <v>117</v>
      </c>
      <c r="E466" s="555" t="s">
        <v>118</v>
      </c>
      <c r="F466" s="584" t="s">
        <v>105</v>
      </c>
      <c r="G466" s="584"/>
      <c r="H466" s="557" t="s">
        <v>119</v>
      </c>
      <c r="I466" s="556" t="s">
        <v>120</v>
      </c>
      <c r="J466" s="556" t="s">
        <v>121</v>
      </c>
      <c r="K466" s="556" t="s">
        <v>0</v>
      </c>
    </row>
    <row r="467" spans="2:11" ht="30" x14ac:dyDescent="0.25">
      <c r="B467" s="549" t="s">
        <v>835</v>
      </c>
      <c r="C467" s="550" t="s">
        <v>1292</v>
      </c>
      <c r="D467" s="549" t="s">
        <v>557</v>
      </c>
      <c r="E467" s="549" t="s">
        <v>1293</v>
      </c>
      <c r="F467" s="585" t="s">
        <v>840</v>
      </c>
      <c r="G467" s="585"/>
      <c r="H467" s="551" t="s">
        <v>2</v>
      </c>
      <c r="I467" s="552">
        <v>1</v>
      </c>
      <c r="J467" s="553">
        <v>8.9499999999999993</v>
      </c>
      <c r="K467" s="553">
        <v>8.9499999999999993</v>
      </c>
    </row>
    <row r="468" spans="2:11" ht="30" x14ac:dyDescent="0.25">
      <c r="B468" s="558" t="s">
        <v>837</v>
      </c>
      <c r="C468" s="559" t="s">
        <v>1296</v>
      </c>
      <c r="D468" s="558" t="s">
        <v>561</v>
      </c>
      <c r="E468" s="558" t="s">
        <v>1297</v>
      </c>
      <c r="F468" s="586" t="s">
        <v>840</v>
      </c>
      <c r="G468" s="586"/>
      <c r="H468" s="560" t="s">
        <v>834</v>
      </c>
      <c r="I468" s="561">
        <v>0.3</v>
      </c>
      <c r="J468" s="562">
        <v>26.44</v>
      </c>
      <c r="K468" s="562">
        <v>7.93</v>
      </c>
    </row>
    <row r="469" spans="2:11" ht="30" x14ac:dyDescent="0.25">
      <c r="B469" s="558" t="s">
        <v>837</v>
      </c>
      <c r="C469" s="559" t="s">
        <v>841</v>
      </c>
      <c r="D469" s="558" t="s">
        <v>561</v>
      </c>
      <c r="E469" s="558" t="s">
        <v>842</v>
      </c>
      <c r="F469" s="586" t="s">
        <v>840</v>
      </c>
      <c r="G469" s="586"/>
      <c r="H469" s="560" t="s">
        <v>834</v>
      </c>
      <c r="I469" s="561">
        <v>1.4999999999999999E-2</v>
      </c>
      <c r="J469" s="562">
        <v>20.13</v>
      </c>
      <c r="K469" s="562">
        <v>0.3</v>
      </c>
    </row>
    <row r="470" spans="2:11" x14ac:dyDescent="0.25">
      <c r="B470" s="558" t="s">
        <v>846</v>
      </c>
      <c r="C470" s="559" t="s">
        <v>1298</v>
      </c>
      <c r="D470" s="558" t="s">
        <v>561</v>
      </c>
      <c r="E470" s="558" t="s">
        <v>1299</v>
      </c>
      <c r="F470" s="586" t="s">
        <v>849</v>
      </c>
      <c r="G470" s="586"/>
      <c r="H470" s="560" t="s">
        <v>856</v>
      </c>
      <c r="I470" s="561">
        <v>0.36</v>
      </c>
      <c r="J470" s="562">
        <v>2</v>
      </c>
      <c r="K470" s="562">
        <v>0.72</v>
      </c>
    </row>
    <row r="471" spans="2:11" x14ac:dyDescent="0.25">
      <c r="B471" s="563"/>
      <c r="C471" s="563"/>
      <c r="D471" s="563"/>
      <c r="E471" s="563"/>
      <c r="F471" s="563" t="s">
        <v>857</v>
      </c>
      <c r="G471" s="564">
        <v>5.68</v>
      </c>
      <c r="H471" s="563" t="s">
        <v>858</v>
      </c>
      <c r="I471" s="564">
        <v>0</v>
      </c>
      <c r="J471" s="563" t="s">
        <v>859</v>
      </c>
      <c r="K471" s="564">
        <v>5.68</v>
      </c>
    </row>
    <row r="472" spans="2:11" ht="15.75" thickBot="1" x14ac:dyDescent="0.3">
      <c r="B472" s="563"/>
      <c r="C472" s="563"/>
      <c r="D472" s="563"/>
      <c r="E472" s="563"/>
      <c r="F472" s="563" t="s">
        <v>860</v>
      </c>
      <c r="G472" s="564">
        <v>1.85</v>
      </c>
      <c r="H472" s="563"/>
      <c r="I472" s="583" t="s">
        <v>861</v>
      </c>
      <c r="J472" s="583"/>
      <c r="K472" s="564">
        <v>10.8</v>
      </c>
    </row>
    <row r="473" spans="2:11" ht="15.75" thickTop="1" x14ac:dyDescent="0.25">
      <c r="B473" s="565"/>
      <c r="C473" s="565"/>
      <c r="D473" s="565"/>
      <c r="E473" s="565"/>
      <c r="F473" s="565"/>
      <c r="G473" s="565"/>
      <c r="H473" s="565"/>
      <c r="I473" s="565"/>
      <c r="J473" s="565"/>
      <c r="K473" s="565"/>
    </row>
    <row r="474" spans="2:11" x14ac:dyDescent="0.25">
      <c r="B474" s="555"/>
      <c r="C474" s="556" t="s">
        <v>116</v>
      </c>
      <c r="D474" s="555" t="s">
        <v>117</v>
      </c>
      <c r="E474" s="555" t="s">
        <v>118</v>
      </c>
      <c r="F474" s="584" t="s">
        <v>105</v>
      </c>
      <c r="G474" s="584"/>
      <c r="H474" s="557" t="s">
        <v>119</v>
      </c>
      <c r="I474" s="556" t="s">
        <v>120</v>
      </c>
      <c r="J474" s="556" t="s">
        <v>121</v>
      </c>
      <c r="K474" s="556" t="s">
        <v>0</v>
      </c>
    </row>
    <row r="475" spans="2:11" ht="30" x14ac:dyDescent="0.25">
      <c r="B475" s="549" t="s">
        <v>835</v>
      </c>
      <c r="C475" s="550" t="s">
        <v>1320</v>
      </c>
      <c r="D475" s="549" t="s">
        <v>557</v>
      </c>
      <c r="E475" s="549" t="s">
        <v>1321</v>
      </c>
      <c r="F475" s="585" t="s">
        <v>906</v>
      </c>
      <c r="G475" s="585"/>
      <c r="H475" s="551" t="s">
        <v>831</v>
      </c>
      <c r="I475" s="552">
        <v>1</v>
      </c>
      <c r="J475" s="553">
        <v>25.69</v>
      </c>
      <c r="K475" s="553">
        <v>25.69</v>
      </c>
    </row>
    <row r="476" spans="2:11" ht="30" x14ac:dyDescent="0.25">
      <c r="B476" s="558" t="s">
        <v>837</v>
      </c>
      <c r="C476" s="559" t="s">
        <v>1060</v>
      </c>
      <c r="D476" s="558" t="s">
        <v>561</v>
      </c>
      <c r="E476" s="558" t="s">
        <v>1061</v>
      </c>
      <c r="F476" s="586" t="s">
        <v>840</v>
      </c>
      <c r="G476" s="586"/>
      <c r="H476" s="560" t="s">
        <v>834</v>
      </c>
      <c r="I476" s="561">
        <v>0.04</v>
      </c>
      <c r="J476" s="562">
        <v>24.18</v>
      </c>
      <c r="K476" s="562">
        <v>0.96</v>
      </c>
    </row>
    <row r="477" spans="2:11" ht="30" x14ac:dyDescent="0.25">
      <c r="B477" s="558" t="s">
        <v>837</v>
      </c>
      <c r="C477" s="559" t="s">
        <v>841</v>
      </c>
      <c r="D477" s="558" t="s">
        <v>561</v>
      </c>
      <c r="E477" s="558" t="s">
        <v>842</v>
      </c>
      <c r="F477" s="586" t="s">
        <v>840</v>
      </c>
      <c r="G477" s="586"/>
      <c r="H477" s="560" t="s">
        <v>834</v>
      </c>
      <c r="I477" s="561">
        <v>0.04</v>
      </c>
      <c r="J477" s="562">
        <v>20.13</v>
      </c>
      <c r="K477" s="562">
        <v>0.8</v>
      </c>
    </row>
    <row r="478" spans="2:11" ht="30" x14ac:dyDescent="0.25">
      <c r="B478" s="558" t="s">
        <v>837</v>
      </c>
      <c r="C478" s="559" t="s">
        <v>947</v>
      </c>
      <c r="D478" s="558" t="s">
        <v>561</v>
      </c>
      <c r="E478" s="558" t="s">
        <v>948</v>
      </c>
      <c r="F478" s="586" t="s">
        <v>946</v>
      </c>
      <c r="G478" s="586"/>
      <c r="H478" s="560" t="s">
        <v>3</v>
      </c>
      <c r="I478" s="561">
        <v>0.18</v>
      </c>
      <c r="J478" s="562">
        <v>79.63</v>
      </c>
      <c r="K478" s="562">
        <v>14.33</v>
      </c>
    </row>
    <row r="479" spans="2:11" ht="30" x14ac:dyDescent="0.25">
      <c r="B479" s="558" t="s">
        <v>837</v>
      </c>
      <c r="C479" s="559" t="s">
        <v>944</v>
      </c>
      <c r="D479" s="558" t="s">
        <v>561</v>
      </c>
      <c r="E479" s="558" t="s">
        <v>945</v>
      </c>
      <c r="F479" s="586" t="s">
        <v>946</v>
      </c>
      <c r="G479" s="586"/>
      <c r="H479" s="560" t="s">
        <v>3</v>
      </c>
      <c r="I479" s="561">
        <v>0.18</v>
      </c>
      <c r="J479" s="562">
        <v>24.47</v>
      </c>
      <c r="K479" s="562">
        <v>4.4000000000000004</v>
      </c>
    </row>
    <row r="480" spans="2:11" ht="30" x14ac:dyDescent="0.25">
      <c r="B480" s="558" t="s">
        <v>846</v>
      </c>
      <c r="C480" s="559" t="s">
        <v>1070</v>
      </c>
      <c r="D480" s="558" t="s">
        <v>561</v>
      </c>
      <c r="E480" s="558" t="s">
        <v>1071</v>
      </c>
      <c r="F480" s="586" t="s">
        <v>849</v>
      </c>
      <c r="G480" s="586"/>
      <c r="H480" s="560" t="s">
        <v>831</v>
      </c>
      <c r="I480" s="561">
        <v>1</v>
      </c>
      <c r="J480" s="562">
        <v>5.2</v>
      </c>
      <c r="K480" s="562">
        <v>5.2</v>
      </c>
    </row>
    <row r="481" spans="2:11" x14ac:dyDescent="0.25">
      <c r="B481" s="563"/>
      <c r="C481" s="563"/>
      <c r="D481" s="563"/>
      <c r="E481" s="563"/>
      <c r="F481" s="563" t="s">
        <v>857</v>
      </c>
      <c r="G481" s="564">
        <v>13.78</v>
      </c>
      <c r="H481" s="563" t="s">
        <v>858</v>
      </c>
      <c r="I481" s="564">
        <v>0</v>
      </c>
      <c r="J481" s="563" t="s">
        <v>859</v>
      </c>
      <c r="K481" s="564">
        <v>13.78</v>
      </c>
    </row>
    <row r="482" spans="2:11" ht="15.75" thickBot="1" x14ac:dyDescent="0.3">
      <c r="B482" s="563"/>
      <c r="C482" s="563"/>
      <c r="D482" s="563"/>
      <c r="E482" s="563"/>
      <c r="F482" s="563" t="s">
        <v>860</v>
      </c>
      <c r="G482" s="564">
        <v>5.31</v>
      </c>
      <c r="H482" s="563"/>
      <c r="I482" s="583" t="s">
        <v>861</v>
      </c>
      <c r="J482" s="583"/>
      <c r="K482" s="564">
        <v>31</v>
      </c>
    </row>
    <row r="483" spans="2:11" ht="15.75" thickTop="1" x14ac:dyDescent="0.25">
      <c r="B483" s="565"/>
      <c r="C483" s="565"/>
      <c r="D483" s="565"/>
      <c r="E483" s="565"/>
      <c r="F483" s="565"/>
      <c r="G483" s="565"/>
      <c r="H483" s="565"/>
      <c r="I483" s="565"/>
      <c r="J483" s="565"/>
      <c r="K483" s="565"/>
    </row>
    <row r="484" spans="2:11" x14ac:dyDescent="0.25">
      <c r="B484" s="555"/>
      <c r="C484" s="556" t="s">
        <v>116</v>
      </c>
      <c r="D484" s="555" t="s">
        <v>117</v>
      </c>
      <c r="E484" s="555" t="s">
        <v>118</v>
      </c>
      <c r="F484" s="584" t="s">
        <v>105</v>
      </c>
      <c r="G484" s="584"/>
      <c r="H484" s="557" t="s">
        <v>119</v>
      </c>
      <c r="I484" s="556" t="s">
        <v>120</v>
      </c>
      <c r="J484" s="556" t="s">
        <v>121</v>
      </c>
      <c r="K484" s="556" t="s">
        <v>0</v>
      </c>
    </row>
    <row r="485" spans="2:11" ht="30" x14ac:dyDescent="0.25">
      <c r="B485" s="549" t="s">
        <v>835</v>
      </c>
      <c r="C485" s="550" t="s">
        <v>1290</v>
      </c>
      <c r="D485" s="549" t="s">
        <v>557</v>
      </c>
      <c r="E485" s="549" t="s">
        <v>1291</v>
      </c>
      <c r="F485" s="585" t="s">
        <v>963</v>
      </c>
      <c r="G485" s="585"/>
      <c r="H485" s="551" t="s">
        <v>831</v>
      </c>
      <c r="I485" s="552">
        <v>1</v>
      </c>
      <c r="J485" s="553">
        <v>3.32</v>
      </c>
      <c r="K485" s="553">
        <v>3.32</v>
      </c>
    </row>
    <row r="486" spans="2:11" ht="60" x14ac:dyDescent="0.25">
      <c r="B486" s="558" t="s">
        <v>837</v>
      </c>
      <c r="C486" s="559" t="s">
        <v>1072</v>
      </c>
      <c r="D486" s="558" t="s">
        <v>561</v>
      </c>
      <c r="E486" s="558" t="s">
        <v>1073</v>
      </c>
      <c r="F486" s="586" t="s">
        <v>911</v>
      </c>
      <c r="G486" s="586"/>
      <c r="H486" s="560" t="s">
        <v>912</v>
      </c>
      <c r="I486" s="561">
        <v>8.3000000000000004E-2</v>
      </c>
      <c r="J486" s="562">
        <v>10.69</v>
      </c>
      <c r="K486" s="562">
        <v>0.88</v>
      </c>
    </row>
    <row r="487" spans="2:11" ht="30" x14ac:dyDescent="0.25">
      <c r="B487" s="558" t="s">
        <v>837</v>
      </c>
      <c r="C487" s="559" t="s">
        <v>841</v>
      </c>
      <c r="D487" s="558" t="s">
        <v>561</v>
      </c>
      <c r="E487" s="558" t="s">
        <v>842</v>
      </c>
      <c r="F487" s="586" t="s">
        <v>840</v>
      </c>
      <c r="G487" s="586"/>
      <c r="H487" s="560" t="s">
        <v>834</v>
      </c>
      <c r="I487" s="561">
        <v>8.3000000000000004E-2</v>
      </c>
      <c r="J487" s="562">
        <v>20.13</v>
      </c>
      <c r="K487" s="562">
        <v>1.67</v>
      </c>
    </row>
    <row r="488" spans="2:11" ht="30" x14ac:dyDescent="0.25">
      <c r="B488" s="558" t="s">
        <v>846</v>
      </c>
      <c r="C488" s="559" t="s">
        <v>1074</v>
      </c>
      <c r="D488" s="558" t="s">
        <v>561</v>
      </c>
      <c r="E488" s="558" t="s">
        <v>1075</v>
      </c>
      <c r="F488" s="586" t="s">
        <v>1002</v>
      </c>
      <c r="G488" s="586"/>
      <c r="H488" s="560" t="s">
        <v>833</v>
      </c>
      <c r="I488" s="561">
        <v>2E-3</v>
      </c>
      <c r="J488" s="562">
        <v>386.86</v>
      </c>
      <c r="K488" s="562">
        <v>0.77</v>
      </c>
    </row>
    <row r="489" spans="2:11" x14ac:dyDescent="0.25">
      <c r="B489" s="563"/>
      <c r="C489" s="563"/>
      <c r="D489" s="563"/>
      <c r="E489" s="563"/>
      <c r="F489" s="563" t="s">
        <v>857</v>
      </c>
      <c r="G489" s="564">
        <v>1.1299999999999999</v>
      </c>
      <c r="H489" s="563" t="s">
        <v>858</v>
      </c>
      <c r="I489" s="564">
        <v>0</v>
      </c>
      <c r="J489" s="563" t="s">
        <v>859</v>
      </c>
      <c r="K489" s="564">
        <v>1.1299999999999999</v>
      </c>
    </row>
    <row r="490" spans="2:11" ht="15.75" thickBot="1" x14ac:dyDescent="0.3">
      <c r="B490" s="563"/>
      <c r="C490" s="563"/>
      <c r="D490" s="563"/>
      <c r="E490" s="563"/>
      <c r="F490" s="563" t="s">
        <v>860</v>
      </c>
      <c r="G490" s="564">
        <v>0.68</v>
      </c>
      <c r="H490" s="563"/>
      <c r="I490" s="583" t="s">
        <v>861</v>
      </c>
      <c r="J490" s="583"/>
      <c r="K490" s="564">
        <v>4</v>
      </c>
    </row>
    <row r="491" spans="2:11" ht="15.75" thickTop="1" x14ac:dyDescent="0.25">
      <c r="B491" s="565"/>
      <c r="C491" s="565"/>
      <c r="D491" s="565"/>
      <c r="E491" s="565"/>
      <c r="F491" s="565"/>
      <c r="G491" s="565"/>
      <c r="H491" s="565"/>
      <c r="I491" s="565"/>
      <c r="J491" s="565"/>
      <c r="K491" s="565"/>
    </row>
    <row r="492" spans="2:11" x14ac:dyDescent="0.25">
      <c r="B492" s="555"/>
      <c r="C492" s="556" t="s">
        <v>116</v>
      </c>
      <c r="D492" s="555" t="s">
        <v>117</v>
      </c>
      <c r="E492" s="555" t="s">
        <v>118</v>
      </c>
      <c r="F492" s="584" t="s">
        <v>105</v>
      </c>
      <c r="G492" s="584"/>
      <c r="H492" s="557" t="s">
        <v>119</v>
      </c>
      <c r="I492" s="556" t="s">
        <v>120</v>
      </c>
      <c r="J492" s="556" t="s">
        <v>121</v>
      </c>
      <c r="K492" s="556" t="s">
        <v>0</v>
      </c>
    </row>
    <row r="493" spans="2:11" ht="30" x14ac:dyDescent="0.25">
      <c r="B493" s="549" t="s">
        <v>835</v>
      </c>
      <c r="C493" s="550" t="s">
        <v>987</v>
      </c>
      <c r="D493" s="549" t="s">
        <v>557</v>
      </c>
      <c r="E493" s="549" t="s">
        <v>988</v>
      </c>
      <c r="F493" s="585" t="s">
        <v>963</v>
      </c>
      <c r="G493" s="585"/>
      <c r="H493" s="551" t="s">
        <v>4</v>
      </c>
      <c r="I493" s="552">
        <v>1</v>
      </c>
      <c r="J493" s="553">
        <v>3.32</v>
      </c>
      <c r="K493" s="553">
        <v>3.32</v>
      </c>
    </row>
    <row r="494" spans="2:11" ht="60" x14ac:dyDescent="0.25">
      <c r="B494" s="558" t="s">
        <v>837</v>
      </c>
      <c r="C494" s="559" t="s">
        <v>1072</v>
      </c>
      <c r="D494" s="558" t="s">
        <v>561</v>
      </c>
      <c r="E494" s="558" t="s">
        <v>1073</v>
      </c>
      <c r="F494" s="586" t="s">
        <v>911</v>
      </c>
      <c r="G494" s="586"/>
      <c r="H494" s="560" t="s">
        <v>912</v>
      </c>
      <c r="I494" s="561">
        <v>8.3000000000000004E-2</v>
      </c>
      <c r="J494" s="562">
        <v>10.69</v>
      </c>
      <c r="K494" s="562">
        <v>0.88</v>
      </c>
    </row>
    <row r="495" spans="2:11" ht="30" x14ac:dyDescent="0.25">
      <c r="B495" s="558" t="s">
        <v>837</v>
      </c>
      <c r="C495" s="559" t="s">
        <v>841</v>
      </c>
      <c r="D495" s="558" t="s">
        <v>561</v>
      </c>
      <c r="E495" s="558" t="s">
        <v>842</v>
      </c>
      <c r="F495" s="586" t="s">
        <v>840</v>
      </c>
      <c r="G495" s="586"/>
      <c r="H495" s="560" t="s">
        <v>834</v>
      </c>
      <c r="I495" s="561">
        <v>8.3000000000000004E-2</v>
      </c>
      <c r="J495" s="562">
        <v>20.13</v>
      </c>
      <c r="K495" s="562">
        <v>1.67</v>
      </c>
    </row>
    <row r="496" spans="2:11" ht="30" x14ac:dyDescent="0.25">
      <c r="B496" s="558" t="s">
        <v>846</v>
      </c>
      <c r="C496" s="559" t="s">
        <v>1074</v>
      </c>
      <c r="D496" s="558" t="s">
        <v>561</v>
      </c>
      <c r="E496" s="558" t="s">
        <v>1075</v>
      </c>
      <c r="F496" s="586" t="s">
        <v>1002</v>
      </c>
      <c r="G496" s="586"/>
      <c r="H496" s="560" t="s">
        <v>833</v>
      </c>
      <c r="I496" s="561">
        <v>2E-3</v>
      </c>
      <c r="J496" s="562">
        <v>386.86</v>
      </c>
      <c r="K496" s="562">
        <v>0.77</v>
      </c>
    </row>
    <row r="497" spans="2:12" x14ac:dyDescent="0.25">
      <c r="B497" s="563"/>
      <c r="C497" s="563"/>
      <c r="D497" s="563"/>
      <c r="E497" s="563"/>
      <c r="F497" s="563" t="s">
        <v>857</v>
      </c>
      <c r="G497" s="564">
        <v>1.1299999999999999</v>
      </c>
      <c r="H497" s="563" t="s">
        <v>858</v>
      </c>
      <c r="I497" s="564">
        <v>0</v>
      </c>
      <c r="J497" s="563" t="s">
        <v>859</v>
      </c>
      <c r="K497" s="564">
        <v>1.1299999999999999</v>
      </c>
    </row>
    <row r="498" spans="2:12" ht="15.75" thickBot="1" x14ac:dyDescent="0.3">
      <c r="B498" s="563"/>
      <c r="C498" s="563"/>
      <c r="D498" s="563"/>
      <c r="E498" s="563"/>
      <c r="F498" s="563" t="s">
        <v>860</v>
      </c>
      <c r="G498" s="564">
        <v>0.68</v>
      </c>
      <c r="H498" s="563"/>
      <c r="I498" s="583" t="s">
        <v>861</v>
      </c>
      <c r="J498" s="583"/>
      <c r="K498" s="564">
        <v>4</v>
      </c>
    </row>
    <row r="499" spans="2:12" ht="15.75" thickTop="1" x14ac:dyDescent="0.25">
      <c r="B499" s="565"/>
      <c r="C499" s="565"/>
      <c r="D499" s="565"/>
      <c r="E499" s="565"/>
      <c r="F499" s="565"/>
      <c r="G499" s="565"/>
      <c r="H499" s="565"/>
      <c r="I499" s="565"/>
      <c r="J499" s="565"/>
      <c r="K499" s="565"/>
    </row>
    <row r="500" spans="2:12" x14ac:dyDescent="0.25">
      <c r="B500" s="555"/>
      <c r="C500" s="556" t="s">
        <v>116</v>
      </c>
      <c r="D500" s="555" t="s">
        <v>117</v>
      </c>
      <c r="E500" s="555" t="s">
        <v>118</v>
      </c>
      <c r="F500" s="584" t="s">
        <v>105</v>
      </c>
      <c r="G500" s="584"/>
      <c r="H500" s="557" t="s">
        <v>119</v>
      </c>
      <c r="I500" s="556" t="s">
        <v>120</v>
      </c>
      <c r="J500" s="556" t="s">
        <v>121</v>
      </c>
      <c r="K500" s="556" t="s">
        <v>0</v>
      </c>
    </row>
    <row r="501" spans="2:12" ht="30" x14ac:dyDescent="0.25">
      <c r="B501" s="549" t="s">
        <v>835</v>
      </c>
      <c r="C501" s="550" t="s">
        <v>1322</v>
      </c>
      <c r="D501" s="549" t="s">
        <v>557</v>
      </c>
      <c r="E501" s="549" t="s">
        <v>993</v>
      </c>
      <c r="F501" s="585" t="s">
        <v>963</v>
      </c>
      <c r="G501" s="585"/>
      <c r="H501" s="551" t="s">
        <v>4</v>
      </c>
      <c r="I501" s="552">
        <v>1</v>
      </c>
      <c r="J501" s="553">
        <v>0.39</v>
      </c>
      <c r="K501" s="553">
        <v>0.39</v>
      </c>
    </row>
    <row r="502" spans="2:12" ht="45" x14ac:dyDescent="0.25">
      <c r="B502" s="558" t="s">
        <v>837</v>
      </c>
      <c r="C502" s="559" t="s">
        <v>1076</v>
      </c>
      <c r="D502" s="558" t="s">
        <v>561</v>
      </c>
      <c r="E502" s="558" t="s">
        <v>1077</v>
      </c>
      <c r="F502" s="586" t="s">
        <v>911</v>
      </c>
      <c r="G502" s="586"/>
      <c r="H502" s="560" t="s">
        <v>912</v>
      </c>
      <c r="I502" s="561">
        <v>2.7889E-3</v>
      </c>
      <c r="J502" s="562">
        <v>103.85</v>
      </c>
      <c r="K502" s="562">
        <v>0.28000000000000003</v>
      </c>
    </row>
    <row r="503" spans="2:12" ht="30" x14ac:dyDescent="0.25">
      <c r="B503" s="558" t="s">
        <v>837</v>
      </c>
      <c r="C503" s="559" t="s">
        <v>841</v>
      </c>
      <c r="D503" s="558" t="s">
        <v>561</v>
      </c>
      <c r="E503" s="558" t="s">
        <v>842</v>
      </c>
      <c r="F503" s="586" t="s">
        <v>840</v>
      </c>
      <c r="G503" s="586"/>
      <c r="H503" s="560" t="s">
        <v>834</v>
      </c>
      <c r="I503" s="561">
        <v>5.5770000000000004E-3</v>
      </c>
      <c r="J503" s="562">
        <v>20.13</v>
      </c>
      <c r="K503" s="562">
        <v>0.11</v>
      </c>
    </row>
    <row r="504" spans="2:12" x14ac:dyDescent="0.25">
      <c r="B504" s="558" t="s">
        <v>846</v>
      </c>
      <c r="C504" s="559" t="s">
        <v>975</v>
      </c>
      <c r="D504" s="558" t="s">
        <v>557</v>
      </c>
      <c r="E504" s="558" t="s">
        <v>976</v>
      </c>
      <c r="F504" s="586" t="s">
        <v>849</v>
      </c>
      <c r="G504" s="586"/>
      <c r="H504" s="560" t="s">
        <v>977</v>
      </c>
      <c r="I504" s="561">
        <v>1.7E-6</v>
      </c>
      <c r="J504" s="562">
        <v>4200</v>
      </c>
      <c r="K504" s="566">
        <v>7.0000000000000001E-3</v>
      </c>
      <c r="L504" s="554"/>
    </row>
    <row r="505" spans="2:12" x14ac:dyDescent="0.25">
      <c r="B505" s="563"/>
      <c r="C505" s="563"/>
      <c r="D505" s="563"/>
      <c r="E505" s="563"/>
      <c r="F505" s="563" t="s">
        <v>857</v>
      </c>
      <c r="G505" s="564">
        <v>7.0000000000000007E-2</v>
      </c>
      <c r="H505" s="563" t="s">
        <v>858</v>
      </c>
      <c r="I505" s="564">
        <v>0</v>
      </c>
      <c r="J505" s="563" t="s">
        <v>859</v>
      </c>
      <c r="K505" s="564">
        <v>7.0000000000000007E-2</v>
      </c>
    </row>
    <row r="506" spans="2:12" x14ac:dyDescent="0.25">
      <c r="B506" s="563"/>
      <c r="C506" s="563"/>
      <c r="D506" s="563"/>
      <c r="E506" s="563"/>
      <c r="F506" s="563" t="s">
        <v>860</v>
      </c>
      <c r="G506" s="564">
        <v>0.08</v>
      </c>
      <c r="H506" s="563"/>
      <c r="I506" s="583" t="s">
        <v>861</v>
      </c>
      <c r="J506" s="583"/>
      <c r="K506" s="564">
        <v>0.47</v>
      </c>
    </row>
    <row r="507" spans="2:12" x14ac:dyDescent="0.25">
      <c r="B507" s="71"/>
      <c r="C507" s="484"/>
      <c r="D507" s="71"/>
      <c r="E507" s="71"/>
      <c r="F507" s="71"/>
      <c r="G507" s="71"/>
      <c r="H507" s="548"/>
      <c r="I507" s="484"/>
      <c r="J507" s="484"/>
      <c r="K507" s="484"/>
    </row>
    <row r="508" spans="2:12" ht="63" customHeight="1" x14ac:dyDescent="0.25">
      <c r="B508" s="587" t="s">
        <v>279</v>
      </c>
      <c r="C508" s="588"/>
      <c r="D508" s="588"/>
      <c r="E508" s="588"/>
      <c r="F508" s="588"/>
      <c r="G508" s="588"/>
      <c r="H508" s="588"/>
      <c r="I508" s="588"/>
      <c r="J508" s="588"/>
      <c r="K508" s="588"/>
    </row>
    <row r="509" spans="2:12" ht="29.25" customHeight="1" x14ac:dyDescent="0.25"/>
  </sheetData>
  <autoFilter ref="B7:K506" xr:uid="{00000000-0001-0000-0400-000000000000}">
    <filterColumn colId="4" showButton="0"/>
  </autoFilter>
  <mergeCells count="424">
    <mergeCell ref="F334:G334"/>
    <mergeCell ref="F335:G335"/>
    <mergeCell ref="F344:G344"/>
    <mergeCell ref="F314:G314"/>
    <mergeCell ref="F128:G128"/>
    <mergeCell ref="F129:G129"/>
    <mergeCell ref="F130:G130"/>
    <mergeCell ref="F131:G131"/>
    <mergeCell ref="F211:G211"/>
    <mergeCell ref="F400:G400"/>
    <mergeCell ref="F391:G391"/>
    <mergeCell ref="F392:G392"/>
    <mergeCell ref="F393:G393"/>
    <mergeCell ref="F394:G394"/>
    <mergeCell ref="F395:G395"/>
    <mergeCell ref="F396:G396"/>
    <mergeCell ref="F181:G181"/>
    <mergeCell ref="F182:G182"/>
    <mergeCell ref="F286:G286"/>
    <mergeCell ref="F293:G293"/>
    <mergeCell ref="F294:G294"/>
    <mergeCell ref="F295:G295"/>
    <mergeCell ref="F277:G277"/>
    <mergeCell ref="F278:G278"/>
    <mergeCell ref="F279:G279"/>
    <mergeCell ref="F280:G280"/>
    <mergeCell ref="F281:G281"/>
    <mergeCell ref="F296:G296"/>
    <mergeCell ref="F34:G34"/>
    <mergeCell ref="F35:G35"/>
    <mergeCell ref="F36:G36"/>
    <mergeCell ref="F37:G37"/>
    <mergeCell ref="F38:G38"/>
    <mergeCell ref="F39:G39"/>
    <mergeCell ref="F57:G57"/>
    <mergeCell ref="F58:G58"/>
    <mergeCell ref="F59:G59"/>
    <mergeCell ref="F12:G12"/>
    <mergeCell ref="F13:G13"/>
    <mergeCell ref="F14:G14"/>
    <mergeCell ref="F15:G15"/>
    <mergeCell ref="I17:J17"/>
    <mergeCell ref="J2:K2"/>
    <mergeCell ref="F3:G3"/>
    <mergeCell ref="H3:I3"/>
    <mergeCell ref="J3:K3"/>
    <mergeCell ref="B4:K4"/>
    <mergeCell ref="B5:K5"/>
    <mergeCell ref="B2:C2"/>
    <mergeCell ref="F2:G2"/>
    <mergeCell ref="H2:I2"/>
    <mergeCell ref="F6:G6"/>
    <mergeCell ref="F7:G7"/>
    <mergeCell ref="F8:G8"/>
    <mergeCell ref="F9:G9"/>
    <mergeCell ref="F10:G10"/>
    <mergeCell ref="F11:G11"/>
    <mergeCell ref="F19:G19"/>
    <mergeCell ref="F20:G20"/>
    <mergeCell ref="F21:G21"/>
    <mergeCell ref="F28:G28"/>
    <mergeCell ref="F29:G29"/>
    <mergeCell ref="F30:G30"/>
    <mergeCell ref="F31:G31"/>
    <mergeCell ref="F32:G32"/>
    <mergeCell ref="F33:G33"/>
    <mergeCell ref="F25:G25"/>
    <mergeCell ref="F26:G26"/>
    <mergeCell ref="F27:G27"/>
    <mergeCell ref="F22:G22"/>
    <mergeCell ref="F23:G23"/>
    <mergeCell ref="F24:G24"/>
    <mergeCell ref="I41:J41"/>
    <mergeCell ref="F43:G43"/>
    <mergeCell ref="F44:G44"/>
    <mergeCell ref="F45:G45"/>
    <mergeCell ref="F46:G46"/>
    <mergeCell ref="F47:G47"/>
    <mergeCell ref="F54:G54"/>
    <mergeCell ref="F55:G55"/>
    <mergeCell ref="F56:G56"/>
    <mergeCell ref="F48:G48"/>
    <mergeCell ref="F49:G49"/>
    <mergeCell ref="I51:J51"/>
    <mergeCell ref="F53:G53"/>
    <mergeCell ref="I61:J61"/>
    <mergeCell ref="F63:G63"/>
    <mergeCell ref="F64:G64"/>
    <mergeCell ref="F85:G85"/>
    <mergeCell ref="F86:G86"/>
    <mergeCell ref="F65:G65"/>
    <mergeCell ref="F66:G66"/>
    <mergeCell ref="F67:G67"/>
    <mergeCell ref="F68:G68"/>
    <mergeCell ref="I70:J70"/>
    <mergeCell ref="F72:G72"/>
    <mergeCell ref="F73:G73"/>
    <mergeCell ref="F74:G74"/>
    <mergeCell ref="F75:G75"/>
    <mergeCell ref="F76:G76"/>
    <mergeCell ref="F77:G77"/>
    <mergeCell ref="F78:G78"/>
    <mergeCell ref="F79:G79"/>
    <mergeCell ref="F80:G80"/>
    <mergeCell ref="I82:J82"/>
    <mergeCell ref="F84:G84"/>
    <mergeCell ref="F285:G285"/>
    <mergeCell ref="I119:J119"/>
    <mergeCell ref="F132:G132"/>
    <mergeCell ref="F97:G97"/>
    <mergeCell ref="F98:G98"/>
    <mergeCell ref="I100:J100"/>
    <mergeCell ref="F102:G102"/>
    <mergeCell ref="F103:G103"/>
    <mergeCell ref="F104:G104"/>
    <mergeCell ref="F108:G108"/>
    <mergeCell ref="F109:G109"/>
    <mergeCell ref="F110:G110"/>
    <mergeCell ref="F111:G111"/>
    <mergeCell ref="F124:G124"/>
    <mergeCell ref="F125:G125"/>
    <mergeCell ref="F126:G126"/>
    <mergeCell ref="F136:G136"/>
    <mergeCell ref="F137:G137"/>
    <mergeCell ref="F138:G138"/>
    <mergeCell ref="F139:G139"/>
    <mergeCell ref="F140:G140"/>
    <mergeCell ref="F141:G141"/>
    <mergeCell ref="F142:G142"/>
    <mergeCell ref="F127:G127"/>
    <mergeCell ref="F337:G337"/>
    <mergeCell ref="F325:G325"/>
    <mergeCell ref="F326:G326"/>
    <mergeCell ref="F327:G327"/>
    <mergeCell ref="F328:G328"/>
    <mergeCell ref="F336:G336"/>
    <mergeCell ref="F121:G121"/>
    <mergeCell ref="F122:G122"/>
    <mergeCell ref="F123:G123"/>
    <mergeCell ref="F232:G232"/>
    <mergeCell ref="F256:G256"/>
    <mergeCell ref="F257:G257"/>
    <mergeCell ref="F258:G258"/>
    <mergeCell ref="F259:G259"/>
    <mergeCell ref="F260:G260"/>
    <mergeCell ref="F261:G261"/>
    <mergeCell ref="F224:G224"/>
    <mergeCell ref="F231:G231"/>
    <mergeCell ref="F297:G297"/>
    <mergeCell ref="F298:G298"/>
    <mergeCell ref="F305:G305"/>
    <mergeCell ref="F284:G284"/>
    <mergeCell ref="F306:G306"/>
    <mergeCell ref="F307:G307"/>
    <mergeCell ref="F404:G404"/>
    <mergeCell ref="I408:J408"/>
    <mergeCell ref="F412:G412"/>
    <mergeCell ref="F413:G413"/>
    <mergeCell ref="F360:G360"/>
    <mergeCell ref="F373:G373"/>
    <mergeCell ref="F374:G374"/>
    <mergeCell ref="F375:G375"/>
    <mergeCell ref="F376:G376"/>
    <mergeCell ref="F382:G382"/>
    <mergeCell ref="F383:G383"/>
    <mergeCell ref="F377:G377"/>
    <mergeCell ref="F378:G378"/>
    <mergeCell ref="I380:J380"/>
    <mergeCell ref="F384:G384"/>
    <mergeCell ref="F385:G385"/>
    <mergeCell ref="F367:G367"/>
    <mergeCell ref="F365:G365"/>
    <mergeCell ref="F366:G366"/>
    <mergeCell ref="F371:G371"/>
    <mergeCell ref="F364:G364"/>
    <mergeCell ref="F418:G418"/>
    <mergeCell ref="F419:G419"/>
    <mergeCell ref="F420:G420"/>
    <mergeCell ref="F424:G424"/>
    <mergeCell ref="F425:G425"/>
    <mergeCell ref="F405:G405"/>
    <mergeCell ref="F406:G406"/>
    <mergeCell ref="F410:G410"/>
    <mergeCell ref="F411:G411"/>
    <mergeCell ref="I254:J254"/>
    <mergeCell ref="F159:G159"/>
    <mergeCell ref="F174:G174"/>
    <mergeCell ref="F168:G168"/>
    <mergeCell ref="F173:G173"/>
    <mergeCell ref="F169:G169"/>
    <mergeCell ref="F170:G170"/>
    <mergeCell ref="F171:G171"/>
    <mergeCell ref="F172:G172"/>
    <mergeCell ref="F184:G184"/>
    <mergeCell ref="F185:G185"/>
    <mergeCell ref="F183:G183"/>
    <mergeCell ref="F190:G190"/>
    <mergeCell ref="F193:G193"/>
    <mergeCell ref="F219:G219"/>
    <mergeCell ref="F218:G218"/>
    <mergeCell ref="F198:G198"/>
    <mergeCell ref="F206:G206"/>
    <mergeCell ref="F207:G207"/>
    <mergeCell ref="F194:G194"/>
    <mergeCell ref="F205:G205"/>
    <mergeCell ref="F166:G166"/>
    <mergeCell ref="F167:G167"/>
    <mergeCell ref="F164:G164"/>
    <mergeCell ref="F264:G264"/>
    <mergeCell ref="F265:G265"/>
    <mergeCell ref="F236:G236"/>
    <mergeCell ref="F244:G244"/>
    <mergeCell ref="F245:G245"/>
    <mergeCell ref="F246:G246"/>
    <mergeCell ref="F247:G247"/>
    <mergeCell ref="F262:G262"/>
    <mergeCell ref="F263:G263"/>
    <mergeCell ref="F252:G252"/>
    <mergeCell ref="B508:K508"/>
    <mergeCell ref="I267:J267"/>
    <mergeCell ref="F272:G272"/>
    <mergeCell ref="F273:G273"/>
    <mergeCell ref="I275:J275"/>
    <mergeCell ref="F288:G288"/>
    <mergeCell ref="F289:G289"/>
    <mergeCell ref="I291:J291"/>
    <mergeCell ref="F299:G299"/>
    <mergeCell ref="F300:G300"/>
    <mergeCell ref="F270:G270"/>
    <mergeCell ref="F269:G269"/>
    <mergeCell ref="F271:G271"/>
    <mergeCell ref="F283:G283"/>
    <mergeCell ref="F287:G287"/>
    <mergeCell ref="F282:G282"/>
    <mergeCell ref="F449:G449"/>
    <mergeCell ref="F443:G443"/>
    <mergeCell ref="F444:G444"/>
    <mergeCell ref="F428:G428"/>
    <mergeCell ref="F438:G438"/>
    <mergeCell ref="F433:G433"/>
    <mergeCell ref="F434:G434"/>
    <mergeCell ref="I430:J430"/>
    <mergeCell ref="F87:G87"/>
    <mergeCell ref="F117:G117"/>
    <mergeCell ref="F105:G105"/>
    <mergeCell ref="F106:G106"/>
    <mergeCell ref="F107:G107"/>
    <mergeCell ref="F112:G112"/>
    <mergeCell ref="F113:G113"/>
    <mergeCell ref="F114:G114"/>
    <mergeCell ref="F115:G115"/>
    <mergeCell ref="F116:G116"/>
    <mergeCell ref="F88:G88"/>
    <mergeCell ref="F89:G89"/>
    <mergeCell ref="F90:G90"/>
    <mergeCell ref="F91:G91"/>
    <mergeCell ref="F92:G92"/>
    <mergeCell ref="F93:G93"/>
    <mergeCell ref="F94:G94"/>
    <mergeCell ref="F95:G95"/>
    <mergeCell ref="F96:G96"/>
    <mergeCell ref="I134:J134"/>
    <mergeCell ref="F148:G148"/>
    <mergeCell ref="I150:J150"/>
    <mergeCell ref="F160:G160"/>
    <mergeCell ref="I162:J162"/>
    <mergeCell ref="F175:G175"/>
    <mergeCell ref="I177:J177"/>
    <mergeCell ref="I187:J187"/>
    <mergeCell ref="F189:G189"/>
    <mergeCell ref="F144:G144"/>
    <mergeCell ref="F145:G145"/>
    <mergeCell ref="F146:G146"/>
    <mergeCell ref="F157:G157"/>
    <mergeCell ref="F158:G158"/>
    <mergeCell ref="F152:G152"/>
    <mergeCell ref="F153:G153"/>
    <mergeCell ref="F154:G154"/>
    <mergeCell ref="F156:G156"/>
    <mergeCell ref="F165:G165"/>
    <mergeCell ref="F147:G147"/>
    <mergeCell ref="F143:G143"/>
    <mergeCell ref="F155:G155"/>
    <mergeCell ref="F179:G179"/>
    <mergeCell ref="F180:G180"/>
    <mergeCell ref="F191:G191"/>
    <mergeCell ref="I196:J196"/>
    <mergeCell ref="F199:G199"/>
    <mergeCell ref="F200:G200"/>
    <mergeCell ref="F201:G201"/>
    <mergeCell ref="I203:J203"/>
    <mergeCell ref="F208:G208"/>
    <mergeCell ref="F209:G209"/>
    <mergeCell ref="F210:G210"/>
    <mergeCell ref="F192:G192"/>
    <mergeCell ref="I213:J213"/>
    <mergeCell ref="F215:G215"/>
    <mergeCell ref="F216:G216"/>
    <mergeCell ref="F217:G217"/>
    <mergeCell ref="I221:J221"/>
    <mergeCell ref="F225:G225"/>
    <mergeCell ref="F226:G226"/>
    <mergeCell ref="F227:G227"/>
    <mergeCell ref="I229:J229"/>
    <mergeCell ref="F223:G223"/>
    <mergeCell ref="F233:G233"/>
    <mergeCell ref="F234:G234"/>
    <mergeCell ref="F235:G235"/>
    <mergeCell ref="I238:J238"/>
    <mergeCell ref="F241:G241"/>
    <mergeCell ref="F242:G242"/>
    <mergeCell ref="F243:G243"/>
    <mergeCell ref="F250:G250"/>
    <mergeCell ref="F251:G251"/>
    <mergeCell ref="F240:G240"/>
    <mergeCell ref="F248:G248"/>
    <mergeCell ref="F249:G249"/>
    <mergeCell ref="I302:J302"/>
    <mergeCell ref="F318:G318"/>
    <mergeCell ref="I320:J320"/>
    <mergeCell ref="F322:G322"/>
    <mergeCell ref="F329:G329"/>
    <mergeCell ref="F330:G330"/>
    <mergeCell ref="F331:G331"/>
    <mergeCell ref="F332:G332"/>
    <mergeCell ref="F333:G333"/>
    <mergeCell ref="F311:G311"/>
    <mergeCell ref="F312:G312"/>
    <mergeCell ref="F313:G313"/>
    <mergeCell ref="F315:G315"/>
    <mergeCell ref="F316:G316"/>
    <mergeCell ref="F317:G317"/>
    <mergeCell ref="F323:G323"/>
    <mergeCell ref="F324:G324"/>
    <mergeCell ref="F308:G308"/>
    <mergeCell ref="F309:G309"/>
    <mergeCell ref="F310:G310"/>
    <mergeCell ref="F304:G304"/>
    <mergeCell ref="I339:J339"/>
    <mergeCell ref="F341:G341"/>
    <mergeCell ref="I350:J350"/>
    <mergeCell ref="F352:G352"/>
    <mergeCell ref="I358:J358"/>
    <mergeCell ref="F361:G361"/>
    <mergeCell ref="F362:G362"/>
    <mergeCell ref="F363:G363"/>
    <mergeCell ref="I369:J369"/>
    <mergeCell ref="F355:G355"/>
    <mergeCell ref="F356:G356"/>
    <mergeCell ref="F353:G353"/>
    <mergeCell ref="F354:G354"/>
    <mergeCell ref="F345:G345"/>
    <mergeCell ref="F346:G346"/>
    <mergeCell ref="F347:G347"/>
    <mergeCell ref="F348:G348"/>
    <mergeCell ref="F342:G342"/>
    <mergeCell ref="F343:G343"/>
    <mergeCell ref="F372:G372"/>
    <mergeCell ref="F386:G386"/>
    <mergeCell ref="F387:G387"/>
    <mergeCell ref="I389:J389"/>
    <mergeCell ref="I398:J398"/>
    <mergeCell ref="F401:G401"/>
    <mergeCell ref="F402:G402"/>
    <mergeCell ref="F403:G403"/>
    <mergeCell ref="F450:G450"/>
    <mergeCell ref="B432:K432"/>
    <mergeCell ref="F435:G435"/>
    <mergeCell ref="F436:G436"/>
    <mergeCell ref="F437:G437"/>
    <mergeCell ref="F439:G439"/>
    <mergeCell ref="I441:J441"/>
    <mergeCell ref="F445:G445"/>
    <mergeCell ref="I447:J447"/>
    <mergeCell ref="F421:G421"/>
    <mergeCell ref="F427:G427"/>
    <mergeCell ref="F426:G426"/>
    <mergeCell ref="F417:G417"/>
    <mergeCell ref="F422:G422"/>
    <mergeCell ref="F423:G423"/>
    <mergeCell ref="I415:J415"/>
    <mergeCell ref="F451:G451"/>
    <mergeCell ref="I453:J453"/>
    <mergeCell ref="F455:G455"/>
    <mergeCell ref="F456:G456"/>
    <mergeCell ref="F457:G457"/>
    <mergeCell ref="F458:G458"/>
    <mergeCell ref="F459:G459"/>
    <mergeCell ref="F460:G460"/>
    <mergeCell ref="F461:G461"/>
    <mergeCell ref="F462:G462"/>
    <mergeCell ref="I464:J464"/>
    <mergeCell ref="F466:G466"/>
    <mergeCell ref="F467:G467"/>
    <mergeCell ref="F468:G468"/>
    <mergeCell ref="F469:G469"/>
    <mergeCell ref="F470:G470"/>
    <mergeCell ref="I472:J472"/>
    <mergeCell ref="F474:G474"/>
    <mergeCell ref="F475:G475"/>
    <mergeCell ref="F476:G476"/>
    <mergeCell ref="F477:G477"/>
    <mergeCell ref="F478:G478"/>
    <mergeCell ref="F479:G479"/>
    <mergeCell ref="F480:G480"/>
    <mergeCell ref="I482:J482"/>
    <mergeCell ref="F484:G484"/>
    <mergeCell ref="F496:G496"/>
    <mergeCell ref="I498:J498"/>
    <mergeCell ref="F500:G500"/>
    <mergeCell ref="F501:G501"/>
    <mergeCell ref="F502:G502"/>
    <mergeCell ref="F503:G503"/>
    <mergeCell ref="F504:G504"/>
    <mergeCell ref="I506:J506"/>
    <mergeCell ref="F485:G485"/>
    <mergeCell ref="F486:G486"/>
    <mergeCell ref="F487:G487"/>
    <mergeCell ref="F488:G488"/>
    <mergeCell ref="I490:J490"/>
    <mergeCell ref="F492:G492"/>
    <mergeCell ref="F493:G493"/>
    <mergeCell ref="F494:G494"/>
    <mergeCell ref="F495:G495"/>
  </mergeCells>
  <printOptions horizontalCentered="1"/>
  <pageMargins left="0.51181102362204722" right="0.51181102362204722" top="0.98425196850393704" bottom="0.59055118110236227" header="0.31496062992125984" footer="0.39370078740157483"/>
  <pageSetup paperSize="9" scale="67" fitToHeight="20" orientation="landscape" r:id="rId1"/>
  <headerFooter>
    <oddHeader>&amp;L&amp;G&amp;R&amp;G</oddHeader>
    <oddFooter>&amp;C&amp;"-,Regular"&amp;K01+049&amp;P de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  <pageSetUpPr fitToPage="1"/>
  </sheetPr>
  <dimension ref="B2:L15"/>
  <sheetViews>
    <sheetView showGridLines="0" showOutlineSymbols="0" showWhiteSpace="0" view="pageBreakPreview" zoomScale="85" zoomScaleNormal="85" zoomScaleSheetLayoutView="85" workbookViewId="0">
      <selection activeCell="N11" sqref="N11"/>
    </sheetView>
  </sheetViews>
  <sheetFormatPr defaultRowHeight="15" x14ac:dyDescent="0.2"/>
  <cols>
    <col min="1" max="1" width="9.33203125" style="38"/>
    <col min="2" max="2" width="12.33203125" style="38" customWidth="1"/>
    <col min="3" max="3" width="70.83203125" style="38" customWidth="1"/>
    <col min="4" max="4" width="26.6640625" style="38" bestFit="1" customWidth="1"/>
    <col min="5" max="5" width="21.33203125" style="38" customWidth="1"/>
    <col min="6" max="31" width="16" style="38" bestFit="1" customWidth="1"/>
    <col min="32" max="16384" width="9.33203125" style="38"/>
  </cols>
  <sheetData>
    <row r="2" spans="2:12" ht="15" customHeight="1" x14ac:dyDescent="0.2">
      <c r="B2" s="49" t="s">
        <v>111</v>
      </c>
      <c r="D2" s="49" t="s">
        <v>112</v>
      </c>
      <c r="E2" s="86" t="s">
        <v>113</v>
      </c>
      <c r="F2" s="88" t="s">
        <v>114</v>
      </c>
      <c r="H2" s="86"/>
    </row>
    <row r="3" spans="2:12" s="40" customFormat="1" ht="39" customHeight="1" x14ac:dyDescent="0.2">
      <c r="B3" s="593" t="s">
        <v>551</v>
      </c>
      <c r="C3" s="593"/>
      <c r="D3" s="39" t="str">
        <f>'RESUMO ND'!D3</f>
        <v>SINAPI - 12/2023 - MS</v>
      </c>
      <c r="E3" s="89" t="s">
        <v>1151</v>
      </c>
      <c r="F3" s="90" t="s">
        <v>276</v>
      </c>
      <c r="H3" s="87"/>
    </row>
    <row r="4" spans="2:12" ht="15" customHeight="1" x14ac:dyDescent="0.2">
      <c r="B4" s="595" t="s">
        <v>129</v>
      </c>
      <c r="C4" s="595"/>
      <c r="D4" s="595"/>
      <c r="E4" s="595"/>
      <c r="F4" s="595"/>
      <c r="G4" s="595"/>
      <c r="H4" s="595"/>
      <c r="I4" s="595"/>
      <c r="J4" s="595"/>
      <c r="K4" s="595"/>
      <c r="L4" s="595"/>
    </row>
    <row r="5" spans="2:12" x14ac:dyDescent="0.2">
      <c r="B5" s="37" t="s">
        <v>115</v>
      </c>
      <c r="C5" s="37" t="s">
        <v>118</v>
      </c>
      <c r="D5" s="36" t="s">
        <v>130</v>
      </c>
      <c r="E5" s="36" t="s">
        <v>131</v>
      </c>
      <c r="F5" s="36" t="s">
        <v>132</v>
      </c>
      <c r="G5" s="85" t="s">
        <v>133</v>
      </c>
      <c r="H5" s="85" t="s">
        <v>317</v>
      </c>
      <c r="I5" s="51" t="s">
        <v>1086</v>
      </c>
      <c r="J5" s="51" t="s">
        <v>1087</v>
      </c>
      <c r="K5" s="51" t="s">
        <v>1088</v>
      </c>
      <c r="L5" s="51" t="s">
        <v>1089</v>
      </c>
    </row>
    <row r="6" spans="2:12" ht="30" customHeight="1" thickBot="1" x14ac:dyDescent="0.25">
      <c r="B6" s="70" t="s">
        <v>272</v>
      </c>
      <c r="C6" s="70" t="s">
        <v>1</v>
      </c>
      <c r="D6" s="544" t="s">
        <v>1323</v>
      </c>
      <c r="E6" s="545" t="s">
        <v>1323</v>
      </c>
      <c r="F6" s="544" t="s">
        <v>1085</v>
      </c>
      <c r="G6" s="544" t="s">
        <v>1085</v>
      </c>
      <c r="H6" s="544" t="s">
        <v>1085</v>
      </c>
      <c r="I6" s="544" t="s">
        <v>1085</v>
      </c>
      <c r="J6" s="544" t="s">
        <v>1085</v>
      </c>
      <c r="K6" s="544" t="s">
        <v>1085</v>
      </c>
      <c r="L6" s="544" t="s">
        <v>1085</v>
      </c>
    </row>
    <row r="7" spans="2:12" ht="30" customHeight="1" thickTop="1" thickBot="1" x14ac:dyDescent="0.25">
      <c r="B7" s="70" t="s">
        <v>273</v>
      </c>
      <c r="C7" s="70" t="s">
        <v>552</v>
      </c>
      <c r="D7" s="544" t="s">
        <v>1324</v>
      </c>
      <c r="E7" s="544" t="s">
        <v>1085</v>
      </c>
      <c r="F7" s="545" t="s">
        <v>1325</v>
      </c>
      <c r="G7" s="545" t="s">
        <v>1325</v>
      </c>
      <c r="H7" s="545" t="s">
        <v>1326</v>
      </c>
      <c r="I7" s="545" t="s">
        <v>1326</v>
      </c>
      <c r="J7" s="545" t="s">
        <v>1326</v>
      </c>
      <c r="K7" s="545" t="s">
        <v>1325</v>
      </c>
      <c r="L7" s="545" t="s">
        <v>1325</v>
      </c>
    </row>
    <row r="8" spans="2:12" ht="30" customHeight="1" thickTop="1" thickBot="1" x14ac:dyDescent="0.25">
      <c r="B8" s="70" t="s">
        <v>274</v>
      </c>
      <c r="C8" s="70" t="s">
        <v>553</v>
      </c>
      <c r="D8" s="544" t="s">
        <v>1327</v>
      </c>
      <c r="E8" s="545" t="s">
        <v>1328</v>
      </c>
      <c r="F8" s="545" t="s">
        <v>1328</v>
      </c>
      <c r="G8" s="545" t="s">
        <v>1329</v>
      </c>
      <c r="H8" s="545" t="s">
        <v>1329</v>
      </c>
      <c r="I8" s="545" t="s">
        <v>1329</v>
      </c>
      <c r="J8" s="545" t="s">
        <v>1329</v>
      </c>
      <c r="K8" s="544" t="s">
        <v>1085</v>
      </c>
      <c r="L8" s="544" t="s">
        <v>1085</v>
      </c>
    </row>
    <row r="9" spans="2:12" ht="30" customHeight="1" thickTop="1" thickBot="1" x14ac:dyDescent="0.25">
      <c r="B9" s="70" t="s">
        <v>275</v>
      </c>
      <c r="C9" s="70" t="s">
        <v>554</v>
      </c>
      <c r="D9" s="544" t="s">
        <v>1330</v>
      </c>
      <c r="E9" s="545" t="s">
        <v>1331</v>
      </c>
      <c r="F9" s="545" t="s">
        <v>1332</v>
      </c>
      <c r="G9" s="545" t="s">
        <v>1333</v>
      </c>
      <c r="H9" s="545" t="s">
        <v>1334</v>
      </c>
      <c r="I9" s="545" t="s">
        <v>1334</v>
      </c>
      <c r="J9" s="545" t="s">
        <v>1334</v>
      </c>
      <c r="K9" s="545" t="s">
        <v>1335</v>
      </c>
      <c r="L9" s="545" t="s">
        <v>1335</v>
      </c>
    </row>
    <row r="10" spans="2:12" ht="20.100000000000001" customHeight="1" thickTop="1" x14ac:dyDescent="0.2">
      <c r="B10" s="594" t="s">
        <v>280</v>
      </c>
      <c r="C10" s="594"/>
      <c r="D10" s="594"/>
      <c r="E10" s="546" t="s">
        <v>1336</v>
      </c>
      <c r="F10" s="546" t="s">
        <v>1310</v>
      </c>
      <c r="G10" s="546" t="s">
        <v>1311</v>
      </c>
      <c r="H10" s="546" t="s">
        <v>1312</v>
      </c>
      <c r="I10" s="546" t="s">
        <v>1312</v>
      </c>
      <c r="J10" s="546" t="s">
        <v>1312</v>
      </c>
      <c r="K10" s="546" t="s">
        <v>1337</v>
      </c>
      <c r="L10" s="546" t="s">
        <v>1337</v>
      </c>
    </row>
    <row r="11" spans="2:12" ht="20.100000000000001" customHeight="1" x14ac:dyDescent="0.2">
      <c r="B11" s="578" t="s">
        <v>281</v>
      </c>
      <c r="C11" s="578"/>
      <c r="D11" s="578"/>
      <c r="E11" s="547" t="s">
        <v>1338</v>
      </c>
      <c r="F11" s="547" t="s">
        <v>1339</v>
      </c>
      <c r="G11" s="547" t="s">
        <v>1340</v>
      </c>
      <c r="H11" s="547" t="s">
        <v>1341</v>
      </c>
      <c r="I11" s="547" t="s">
        <v>1341</v>
      </c>
      <c r="J11" s="547" t="s">
        <v>1341</v>
      </c>
      <c r="K11" s="547" t="s">
        <v>1342</v>
      </c>
      <c r="L11" s="547" t="s">
        <v>1342</v>
      </c>
    </row>
    <row r="12" spans="2:12" ht="20.100000000000001" customHeight="1" x14ac:dyDescent="0.2">
      <c r="B12" s="578" t="s">
        <v>282</v>
      </c>
      <c r="C12" s="578"/>
      <c r="D12" s="578"/>
      <c r="E12" s="546" t="s">
        <v>1336</v>
      </c>
      <c r="F12" s="546" t="s">
        <v>1343</v>
      </c>
      <c r="G12" s="546" t="s">
        <v>1344</v>
      </c>
      <c r="H12" s="546" t="s">
        <v>1345</v>
      </c>
      <c r="I12" s="546" t="s">
        <v>1346</v>
      </c>
      <c r="J12" s="546" t="s">
        <v>1347</v>
      </c>
      <c r="K12" s="546" t="s">
        <v>1348</v>
      </c>
      <c r="L12" s="546" t="s">
        <v>1313</v>
      </c>
    </row>
    <row r="13" spans="2:12" ht="20.100000000000001" customHeight="1" x14ac:dyDescent="0.2">
      <c r="B13" s="578" t="s">
        <v>283</v>
      </c>
      <c r="C13" s="578"/>
      <c r="D13" s="578"/>
      <c r="E13" s="547" t="s">
        <v>1349</v>
      </c>
      <c r="F13" s="547" t="s">
        <v>1350</v>
      </c>
      <c r="G13" s="547" t="s">
        <v>1351</v>
      </c>
      <c r="H13" s="547" t="s">
        <v>1352</v>
      </c>
      <c r="I13" s="547" t="s">
        <v>1353</v>
      </c>
      <c r="J13" s="547" t="s">
        <v>1354</v>
      </c>
      <c r="K13" s="547" t="s">
        <v>1355</v>
      </c>
      <c r="L13" s="547" t="s">
        <v>1356</v>
      </c>
    </row>
    <row r="14" spans="2:12" ht="38.25" customHeight="1" x14ac:dyDescent="0.2">
      <c r="B14" s="50"/>
      <c r="C14" s="50"/>
      <c r="D14" s="50"/>
      <c r="E14" s="50"/>
      <c r="F14" s="50"/>
      <c r="G14" s="50"/>
      <c r="H14" s="50"/>
    </row>
    <row r="15" spans="2:12" s="35" customFormat="1" ht="60" customHeight="1" x14ac:dyDescent="0.2">
      <c r="B15" s="592" t="s">
        <v>279</v>
      </c>
      <c r="C15" s="592"/>
      <c r="D15" s="592"/>
      <c r="E15" s="592"/>
      <c r="F15" s="592"/>
      <c r="G15" s="592"/>
      <c r="H15" s="592"/>
      <c r="I15" s="592"/>
      <c r="J15" s="592"/>
      <c r="K15" s="592"/>
      <c r="L15" s="592"/>
    </row>
  </sheetData>
  <mergeCells count="7">
    <mergeCell ref="B15:L15"/>
    <mergeCell ref="B13:D13"/>
    <mergeCell ref="B3:C3"/>
    <mergeCell ref="B10:D10"/>
    <mergeCell ref="B11:D11"/>
    <mergeCell ref="B12:D12"/>
    <mergeCell ref="B4:L4"/>
  </mergeCells>
  <printOptions horizontalCentered="1"/>
  <pageMargins left="0.51181102362204722" right="0.51181102362204722" top="0.98425196850393704" bottom="0.98425196850393704" header="0.31496062992125984" footer="0.51181102362204722"/>
  <pageSetup paperSize="9" scale="61" fitToHeight="0" orientation="landscape" r:id="rId1"/>
  <headerFooter>
    <oddHeader>&amp;L&amp;G&amp;R&amp;G</oddHeader>
  </headerFooter>
  <colBreaks count="1" manualBreakCount="1">
    <brk id="10" max="1048575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B3:F14"/>
  <sheetViews>
    <sheetView showGridLines="0" view="pageBreakPreview" topLeftCell="A3" zoomScale="145" zoomScaleNormal="100" zoomScaleSheetLayoutView="145" workbookViewId="0">
      <selection activeCell="D15" sqref="D15"/>
    </sheetView>
  </sheetViews>
  <sheetFormatPr defaultColWidth="10.6640625" defaultRowHeight="15" x14ac:dyDescent="0.2"/>
  <cols>
    <col min="1" max="1" width="10.6640625" style="16"/>
    <col min="2" max="2" width="46.1640625" style="16" customWidth="1"/>
    <col min="3" max="3" width="26.5" style="16" customWidth="1"/>
    <col min="4" max="4" width="30.5" style="16" customWidth="1"/>
    <col min="5" max="6" width="19.33203125" style="16" customWidth="1"/>
    <col min="7" max="16384" width="10.6640625" style="16"/>
  </cols>
  <sheetData>
    <row r="3" spans="2:6" ht="24" customHeight="1" x14ac:dyDescent="0.2">
      <c r="B3" s="596" t="s">
        <v>25</v>
      </c>
      <c r="C3" s="597"/>
      <c r="D3" s="597"/>
      <c r="E3" s="597"/>
      <c r="F3" s="598"/>
    </row>
    <row r="4" spans="2:6" ht="24.95" customHeight="1" x14ac:dyDescent="0.2">
      <c r="B4" s="600" t="s">
        <v>26</v>
      </c>
      <c r="C4" s="599" t="s">
        <v>27</v>
      </c>
      <c r="D4" s="599"/>
      <c r="E4" s="599" t="s">
        <v>28</v>
      </c>
      <c r="F4" s="603" t="s">
        <v>29</v>
      </c>
    </row>
    <row r="5" spans="2:6" ht="24.95" customHeight="1" thickBot="1" x14ac:dyDescent="0.25">
      <c r="B5" s="601"/>
      <c r="C5" s="112" t="s">
        <v>30</v>
      </c>
      <c r="D5" s="112" t="s">
        <v>31</v>
      </c>
      <c r="E5" s="602"/>
      <c r="F5" s="604"/>
    </row>
    <row r="6" spans="2:6" ht="35.25" customHeight="1" x14ac:dyDescent="0.2">
      <c r="B6" s="107" t="s">
        <v>417</v>
      </c>
      <c r="C6" s="108" t="s">
        <v>270</v>
      </c>
      <c r="D6" s="109" t="s">
        <v>38</v>
      </c>
      <c r="E6" s="110">
        <v>48.4</v>
      </c>
      <c r="F6" s="111">
        <f>E6</f>
        <v>48.4</v>
      </c>
    </row>
    <row r="7" spans="2:6" s="17" customFormat="1" ht="35.25" customHeight="1" x14ac:dyDescent="0.2">
      <c r="B7" s="100" t="s">
        <v>32</v>
      </c>
      <c r="C7" s="97" t="s">
        <v>33</v>
      </c>
      <c r="D7" s="97" t="s">
        <v>38</v>
      </c>
      <c r="E7" s="98">
        <v>210</v>
      </c>
      <c r="F7" s="101">
        <f t="shared" ref="F7:F12" si="0">E7</f>
        <v>210</v>
      </c>
    </row>
    <row r="8" spans="2:6" s="18" customFormat="1" ht="36" customHeight="1" x14ac:dyDescent="0.2">
      <c r="B8" s="354" t="s">
        <v>387</v>
      </c>
      <c r="C8" s="97" t="s">
        <v>33</v>
      </c>
      <c r="D8" s="97" t="s">
        <v>38</v>
      </c>
      <c r="E8" s="99">
        <f>E7</f>
        <v>210</v>
      </c>
      <c r="F8" s="101">
        <f t="shared" si="0"/>
        <v>210</v>
      </c>
    </row>
    <row r="9" spans="2:6" s="18" customFormat="1" ht="35.25" customHeight="1" x14ac:dyDescent="0.2">
      <c r="B9" s="102" t="s">
        <v>34</v>
      </c>
      <c r="C9" s="97" t="s">
        <v>38</v>
      </c>
      <c r="D9" s="97" t="s">
        <v>38</v>
      </c>
      <c r="E9" s="99">
        <v>12.2</v>
      </c>
      <c r="F9" s="101">
        <f t="shared" si="0"/>
        <v>12.2</v>
      </c>
    </row>
    <row r="10" spans="2:6" s="18" customFormat="1" ht="35.25" customHeight="1" x14ac:dyDescent="0.2">
      <c r="B10" s="492" t="s">
        <v>1091</v>
      </c>
      <c r="C10" s="97" t="s">
        <v>36</v>
      </c>
      <c r="D10" s="97" t="s">
        <v>38</v>
      </c>
      <c r="E10" s="99">
        <v>35.6</v>
      </c>
      <c r="F10" s="101">
        <f t="shared" si="0"/>
        <v>35.6</v>
      </c>
    </row>
    <row r="11" spans="2:6" s="18" customFormat="1" ht="35.25" customHeight="1" x14ac:dyDescent="0.2">
      <c r="B11" s="103" t="s">
        <v>37</v>
      </c>
      <c r="C11" s="97" t="s">
        <v>36</v>
      </c>
      <c r="D11" s="97" t="s">
        <v>38</v>
      </c>
      <c r="E11" s="99">
        <f>E10</f>
        <v>35.6</v>
      </c>
      <c r="F11" s="101">
        <f t="shared" si="0"/>
        <v>35.6</v>
      </c>
    </row>
    <row r="12" spans="2:6" s="18" customFormat="1" ht="35.25" customHeight="1" x14ac:dyDescent="0.2">
      <c r="B12" s="542" t="s">
        <v>1266</v>
      </c>
      <c r="C12" s="97" t="s">
        <v>38</v>
      </c>
      <c r="D12" s="97" t="s">
        <v>38</v>
      </c>
      <c r="E12" s="99">
        <v>12.2</v>
      </c>
      <c r="F12" s="101">
        <f t="shared" si="0"/>
        <v>12.2</v>
      </c>
    </row>
    <row r="13" spans="2:6" s="18" customFormat="1" ht="35.25" customHeight="1" x14ac:dyDescent="0.2">
      <c r="B13" s="542" t="s">
        <v>289</v>
      </c>
      <c r="C13" s="97" t="s">
        <v>35</v>
      </c>
      <c r="D13" s="97" t="s">
        <v>38</v>
      </c>
      <c r="E13" s="99">
        <v>36.299999999999997</v>
      </c>
      <c r="F13" s="101">
        <f t="shared" ref="F13:F14" si="1">E13</f>
        <v>36.299999999999997</v>
      </c>
    </row>
    <row r="14" spans="2:6" s="18" customFormat="1" ht="35.25" customHeight="1" thickBot="1" x14ac:dyDescent="0.25">
      <c r="B14" s="543" t="s">
        <v>1267</v>
      </c>
      <c r="C14" s="104" t="s">
        <v>1268</v>
      </c>
      <c r="D14" s="104" t="s">
        <v>552</v>
      </c>
      <c r="E14" s="105">
        <v>1</v>
      </c>
      <c r="F14" s="106">
        <f t="shared" si="1"/>
        <v>1</v>
      </c>
    </row>
  </sheetData>
  <mergeCells count="5">
    <mergeCell ref="B3:F3"/>
    <mergeCell ref="C4:D4"/>
    <mergeCell ref="B4:B5"/>
    <mergeCell ref="E4:E5"/>
    <mergeCell ref="F4:F5"/>
  </mergeCells>
  <printOptions horizontalCentered="1"/>
  <pageMargins left="0.51181102362204722" right="0.51181102362204722" top="1.3779527559055118" bottom="0.78740157480314965" header="0.31496062992125984" footer="0.31496062992125984"/>
  <pageSetup paperSize="9" scale="72" fitToHeight="0" orientation="portrait" r:id="rId1"/>
  <headerFooter>
    <oddHeader>&amp;L&amp;G&amp;R&amp;G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B3:G14"/>
  <sheetViews>
    <sheetView view="pageBreakPreview" zoomScale="130" zoomScaleNormal="100" zoomScaleSheetLayoutView="130" workbookViewId="0">
      <selection activeCell="C11" sqref="C11:D11"/>
    </sheetView>
  </sheetViews>
  <sheetFormatPr defaultRowHeight="15.75" x14ac:dyDescent="0.25"/>
  <cols>
    <col min="1" max="1" width="9.33203125" style="20"/>
    <col min="2" max="2" width="43.33203125" style="19" bestFit="1" customWidth="1"/>
    <col min="3" max="3" width="32.83203125" style="19" customWidth="1"/>
    <col min="4" max="4" width="44.1640625" style="19" customWidth="1"/>
    <col min="5" max="7" width="16.33203125" style="20" customWidth="1"/>
    <col min="8" max="16384" width="9.33203125" style="20"/>
  </cols>
  <sheetData>
    <row r="3" spans="2:7" ht="16.5" thickBot="1" x14ac:dyDescent="0.3">
      <c r="B3" s="605" t="s">
        <v>1</v>
      </c>
      <c r="C3" s="606"/>
      <c r="D3" s="606"/>
      <c r="E3" s="606"/>
      <c r="F3" s="606"/>
      <c r="G3" s="607"/>
    </row>
    <row r="4" spans="2:7" ht="16.5" thickBot="1" x14ac:dyDescent="0.3">
      <c r="B4" s="94"/>
      <c r="G4" s="95"/>
    </row>
    <row r="5" spans="2:7" ht="16.5" thickBot="1" x14ac:dyDescent="0.3">
      <c r="B5" s="610" t="s">
        <v>39</v>
      </c>
      <c r="C5" s="611"/>
      <c r="D5" s="21">
        <f>'DRENAGEM LOTEAMENTO'!AW31+'DRENAGEM ACESSO'!AW27</f>
        <v>1584</v>
      </c>
      <c r="G5" s="95"/>
    </row>
    <row r="6" spans="2:7" ht="16.5" thickBot="1" x14ac:dyDescent="0.3">
      <c r="B6" s="610" t="s">
        <v>40</v>
      </c>
      <c r="C6" s="611"/>
      <c r="D6" s="21">
        <f>'PAVIMENTAÇÃO LOTEAMENTO'!I11</f>
        <v>647.86999999999989</v>
      </c>
      <c r="G6" s="95"/>
    </row>
    <row r="7" spans="2:7" ht="16.5" thickBot="1" x14ac:dyDescent="0.3">
      <c r="B7" s="94"/>
      <c r="C7" s="96"/>
      <c r="D7" s="96"/>
      <c r="G7" s="95"/>
    </row>
    <row r="8" spans="2:7" ht="16.5" thickBot="1" x14ac:dyDescent="0.3">
      <c r="B8" s="92" t="s">
        <v>41</v>
      </c>
      <c r="C8" s="612" t="s">
        <v>42</v>
      </c>
      <c r="D8" s="613"/>
      <c r="E8" s="613"/>
      <c r="F8" s="614"/>
      <c r="G8" s="93" t="s">
        <v>0</v>
      </c>
    </row>
    <row r="9" spans="2:7" ht="39.950000000000003" customHeight="1" x14ac:dyDescent="0.25">
      <c r="B9" s="615" t="s">
        <v>43</v>
      </c>
      <c r="C9" s="618" t="s">
        <v>44</v>
      </c>
      <c r="D9" s="618"/>
      <c r="E9" s="22">
        <v>15</v>
      </c>
      <c r="F9" s="619">
        <f>D5+D6</f>
        <v>2231.87</v>
      </c>
      <c r="G9" s="622">
        <f>IF(F9&lt;4000,E9,IF(F9&lt;8000,E10,IF(F9&gt;8000,E11,0)))</f>
        <v>15</v>
      </c>
    </row>
    <row r="10" spans="2:7" ht="39.950000000000003" customHeight="1" x14ac:dyDescent="0.25">
      <c r="B10" s="616"/>
      <c r="C10" s="625" t="s">
        <v>45</v>
      </c>
      <c r="D10" s="625"/>
      <c r="E10" s="23">
        <v>30</v>
      </c>
      <c r="F10" s="620"/>
      <c r="G10" s="623"/>
    </row>
    <row r="11" spans="2:7" ht="39.950000000000003" customHeight="1" thickBot="1" x14ac:dyDescent="0.3">
      <c r="B11" s="617"/>
      <c r="C11" s="626" t="s">
        <v>46</v>
      </c>
      <c r="D11" s="626"/>
      <c r="E11" s="24">
        <v>45</v>
      </c>
      <c r="F11" s="621"/>
      <c r="G11" s="624"/>
    </row>
    <row r="12" spans="2:7" ht="39.950000000000003" customHeight="1" thickBot="1" x14ac:dyDescent="0.3">
      <c r="B12" s="25" t="s">
        <v>47</v>
      </c>
      <c r="C12" s="608" t="s">
        <v>48</v>
      </c>
      <c r="D12" s="609"/>
      <c r="E12" s="138"/>
      <c r="F12" s="26">
        <f>D5+D6</f>
        <v>2231.87</v>
      </c>
      <c r="G12" s="27">
        <f>ROUNDUP(F12/200,0)</f>
        <v>12</v>
      </c>
    </row>
    <row r="13" spans="2:7" ht="39.950000000000003" customHeight="1" thickBot="1" x14ac:dyDescent="0.3">
      <c r="B13" s="25" t="s">
        <v>49</v>
      </c>
      <c r="C13" s="608" t="s">
        <v>50</v>
      </c>
      <c r="D13" s="609"/>
      <c r="E13" s="28"/>
      <c r="F13" s="26">
        <f>D5</f>
        <v>1584</v>
      </c>
      <c r="G13" s="29">
        <f>ROUNDUP(F13*1.2/4,0)</f>
        <v>476</v>
      </c>
    </row>
    <row r="14" spans="2:7" ht="39.950000000000003" customHeight="1" thickBot="1" x14ac:dyDescent="0.3">
      <c r="B14" s="30" t="s">
        <v>51</v>
      </c>
      <c r="C14" s="608" t="s">
        <v>52</v>
      </c>
      <c r="D14" s="609"/>
      <c r="E14" s="28"/>
      <c r="F14" s="26">
        <f>D5</f>
        <v>1584</v>
      </c>
      <c r="G14" s="31">
        <f>ROUNDUP(F14/4,0)</f>
        <v>396</v>
      </c>
    </row>
  </sheetData>
  <mergeCells count="13">
    <mergeCell ref="B3:G3"/>
    <mergeCell ref="C12:D12"/>
    <mergeCell ref="C13:D13"/>
    <mergeCell ref="C14:D14"/>
    <mergeCell ref="B5:C5"/>
    <mergeCell ref="B6:C6"/>
    <mergeCell ref="C8:F8"/>
    <mergeCell ref="B9:B11"/>
    <mergeCell ref="C9:D9"/>
    <mergeCell ref="F9:F11"/>
    <mergeCell ref="G9:G11"/>
    <mergeCell ref="C10:D10"/>
    <mergeCell ref="C11:D11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0" orientation="portrait" r:id="rId1"/>
  <headerFooter>
    <oddHeader>&amp;L&amp;G&amp;R&amp;G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DH209"/>
  <sheetViews>
    <sheetView showGridLines="0" view="pageBreakPreview" topLeftCell="AU1" zoomScale="55" zoomScaleNormal="100" zoomScaleSheetLayoutView="55" zoomScalePageLayoutView="70" workbookViewId="0">
      <selection sqref="A1:XFD1048576"/>
    </sheetView>
  </sheetViews>
  <sheetFormatPr defaultRowHeight="16.5" customHeight="1" outlineLevelCol="2" x14ac:dyDescent="0.2"/>
  <cols>
    <col min="1" max="1" width="10.6640625" style="164" hidden="1" customWidth="1" outlineLevel="1"/>
    <col min="2" max="2" width="13.6640625" style="286" hidden="1" customWidth="1" outlineLevel="1"/>
    <col min="3" max="3" width="15" style="164" hidden="1" customWidth="1" outlineLevel="1"/>
    <col min="4" max="5" width="13.6640625" style="164" hidden="1" customWidth="1" outlineLevel="1"/>
    <col min="6" max="6" width="16.83203125" style="164" hidden="1" customWidth="1" outlineLevel="1"/>
    <col min="7" max="7" width="19.6640625" style="164" hidden="1" customWidth="1" outlineLevel="1"/>
    <col min="8" max="8" width="18.33203125" style="164" hidden="1" customWidth="1" outlineLevel="2"/>
    <col min="9" max="12" width="13.6640625" style="164" hidden="1" customWidth="1" outlineLevel="1"/>
    <col min="13" max="15" width="13.6640625" style="164" hidden="1" customWidth="1" outlineLevel="2"/>
    <col min="16" max="16" width="19" style="167" hidden="1" customWidth="1" outlineLevel="1"/>
    <col min="17" max="19" width="13.6640625" style="164" hidden="1" customWidth="1" outlineLevel="2"/>
    <col min="20" max="20" width="14.1640625" style="168" hidden="1" customWidth="1" outlineLevel="1"/>
    <col min="21" max="21" width="13.6640625" style="168" hidden="1" customWidth="1" outlineLevel="1"/>
    <col min="22" max="22" width="12.33203125" style="168" hidden="1" customWidth="1" outlineLevel="1"/>
    <col min="23" max="23" width="14" style="168" hidden="1" customWidth="1" outlineLevel="1"/>
    <col min="24" max="24" width="13.6640625" style="169" hidden="1" customWidth="1" outlineLevel="1"/>
    <col min="25" max="25" width="13.6640625" style="170" hidden="1" customWidth="1" outlineLevel="2"/>
    <col min="26" max="26" width="13.6640625" style="168" hidden="1" customWidth="1" outlineLevel="1" collapsed="1"/>
    <col min="27" max="27" width="13.6640625" style="168" hidden="1" customWidth="1" outlineLevel="1"/>
    <col min="28" max="28" width="14.83203125" style="171" hidden="1" customWidth="1" outlineLevel="1"/>
    <col min="29" max="30" width="13.6640625" style="164" hidden="1" customWidth="1" outlineLevel="2"/>
    <col min="31" max="31" width="13.6640625" style="167" hidden="1" customWidth="1" outlineLevel="2"/>
    <col min="32" max="32" width="15.33203125" style="164" hidden="1" customWidth="1" outlineLevel="2"/>
    <col min="33" max="36" width="13.6640625" style="164" hidden="1" customWidth="1" outlineLevel="2"/>
    <col min="37" max="37" width="10.83203125" style="164" hidden="1" customWidth="1" outlineLevel="1"/>
    <col min="38" max="38" width="10.33203125" style="168" hidden="1" customWidth="1" outlineLevel="1"/>
    <col min="39" max="40" width="9.83203125" style="164" hidden="1" customWidth="1" outlineLevel="1"/>
    <col min="41" max="41" width="10.83203125" style="168" hidden="1" customWidth="1" outlineLevel="1"/>
    <col min="42" max="42" width="9.33203125" style="168" hidden="1" customWidth="1" outlineLevel="1"/>
    <col min="43" max="44" width="13.6640625" style="164" hidden="1" customWidth="1" outlineLevel="1"/>
    <col min="45" max="46" width="9.83203125" style="164" hidden="1" customWidth="1" outlineLevel="1"/>
    <col min="47" max="47" width="14.5" style="164" customWidth="1" collapsed="1"/>
    <col min="48" max="48" width="17.1640625" style="164" customWidth="1"/>
    <col min="49" max="49" width="18.1640625" style="164" customWidth="1"/>
    <col min="50" max="51" width="13.1640625" style="164" customWidth="1"/>
    <col min="52" max="58" width="10.6640625" style="164" customWidth="1"/>
    <col min="59" max="59" width="12.5" style="164" customWidth="1"/>
    <col min="60" max="63" width="10.6640625" style="164" customWidth="1"/>
    <col min="64" max="64" width="10.6640625" style="164" hidden="1" customWidth="1"/>
    <col min="65" max="65" width="10.6640625" style="164" customWidth="1"/>
    <col min="66" max="68" width="10.6640625" style="164" hidden="1" customWidth="1"/>
    <col min="69" max="69" width="12.33203125" style="164" customWidth="1"/>
    <col min="70" max="71" width="10.6640625" style="164" hidden="1" customWidth="1"/>
    <col min="72" max="72" width="13.33203125" style="164" hidden="1" customWidth="1"/>
    <col min="73" max="74" width="10.6640625" style="164" hidden="1" customWidth="1"/>
    <col min="75" max="75" width="13" style="164" hidden="1" customWidth="1"/>
    <col min="76" max="76" width="10.6640625" style="164" customWidth="1"/>
    <col min="77" max="77" width="10.6640625" style="164" hidden="1" customWidth="1"/>
    <col min="78" max="78" width="10.6640625" style="164" customWidth="1"/>
    <col min="79" max="79" width="10.6640625" style="164" hidden="1" customWidth="1"/>
    <col min="80" max="80" width="10.6640625" style="164" customWidth="1"/>
    <col min="81" max="83" width="10.6640625" style="164" hidden="1" customWidth="1"/>
    <col min="84" max="84" width="12.33203125" style="164" customWidth="1"/>
    <col min="85" max="85" width="10.6640625" style="164" hidden="1" customWidth="1"/>
    <col min="86" max="86" width="11.5" style="164" hidden="1" customWidth="1"/>
    <col min="87" max="87" width="10.6640625" style="164" customWidth="1"/>
    <col min="88" max="88" width="11.5" style="164" customWidth="1"/>
    <col min="89" max="89" width="16.1640625" style="164" hidden="1" customWidth="1"/>
    <col min="90" max="91" width="10.6640625" style="164" hidden="1" customWidth="1"/>
    <col min="92" max="92" width="12.6640625" style="172" hidden="1" customWidth="1"/>
    <col min="93" max="93" width="12.83203125" style="164" hidden="1" customWidth="1"/>
    <col min="94" max="94" width="10.6640625" style="164" hidden="1" customWidth="1"/>
    <col min="95" max="95" width="10.6640625" style="164" customWidth="1"/>
    <col min="96" max="98" width="10.6640625" style="164" hidden="1" customWidth="1"/>
    <col min="99" max="99" width="10.6640625" style="164" customWidth="1"/>
    <col min="100" max="104" width="10.6640625" style="164" hidden="1" customWidth="1"/>
    <col min="105" max="105" width="11.5" style="164" hidden="1" customWidth="1"/>
    <col min="106" max="106" width="10.6640625" style="164" customWidth="1"/>
    <col min="107" max="107" width="15.83203125" style="164" bestFit="1" customWidth="1"/>
    <col min="108" max="110" width="15.5" style="164" bestFit="1" customWidth="1"/>
    <col min="111" max="111" width="10.6640625" style="164" customWidth="1"/>
    <col min="112" max="112" width="13.6640625" style="164" hidden="1" customWidth="1"/>
    <col min="113" max="137" width="10.6640625" style="164" customWidth="1"/>
    <col min="138" max="227" width="9.33203125" style="164"/>
    <col min="228" max="228" width="13.5" style="164" customWidth="1"/>
    <col min="229" max="229" width="12.83203125" style="164" customWidth="1"/>
    <col min="230" max="230" width="11.1640625" style="164" customWidth="1"/>
    <col min="231" max="231" width="10.6640625" style="164" customWidth="1"/>
    <col min="232" max="232" width="8.5" style="164" customWidth="1"/>
    <col min="233" max="242" width="0" style="164" hidden="1" customWidth="1"/>
    <col min="243" max="243" width="12.5" style="164" customWidth="1"/>
    <col min="244" max="244" width="13.6640625" style="164" customWidth="1"/>
    <col min="245" max="248" width="0" style="164" hidden="1" customWidth="1"/>
    <col min="249" max="249" width="13.6640625" style="164" customWidth="1"/>
    <col min="250" max="250" width="12.5" style="164" customWidth="1"/>
    <col min="251" max="251" width="15.5" style="164" customWidth="1"/>
    <col min="252" max="252" width="13.6640625" style="164" customWidth="1"/>
    <col min="253" max="253" width="10.83203125" style="164" customWidth="1"/>
    <col min="254" max="254" width="10.33203125" style="164" customWidth="1"/>
    <col min="255" max="256" width="9.83203125" style="164" customWidth="1"/>
    <col min="257" max="257" width="10.83203125" style="164" customWidth="1"/>
    <col min="258" max="258" width="9.33203125" style="164" customWidth="1"/>
    <col min="259" max="261" width="9.83203125" style="164" customWidth="1"/>
    <col min="262" max="262" width="14.5" style="164" customWidth="1"/>
    <col min="263" max="263" width="18.1640625" style="164" customWidth="1"/>
    <col min="264" max="264" width="13.1640625" style="164" customWidth="1"/>
    <col min="265" max="265" width="13" style="164" customWidth="1"/>
    <col min="266" max="266" width="11" style="164" customWidth="1"/>
    <col min="267" max="271" width="0" style="164" hidden="1" customWidth="1"/>
    <col min="272" max="272" width="14.33203125" style="164" customWidth="1"/>
    <col min="273" max="275" width="0" style="164" hidden="1" customWidth="1"/>
    <col min="276" max="276" width="14.33203125" style="164" customWidth="1"/>
    <col min="277" max="279" width="0" style="164" hidden="1" customWidth="1"/>
    <col min="280" max="280" width="14.33203125" style="164" customWidth="1"/>
    <col min="281" max="283" width="0" style="164" hidden="1" customWidth="1"/>
    <col min="284" max="285" width="14.33203125" style="164" customWidth="1"/>
    <col min="286" max="286" width="14.1640625" style="164" customWidth="1"/>
    <col min="287" max="287" width="10.5" style="164" customWidth="1"/>
    <col min="288" max="288" width="10.1640625" style="164" customWidth="1"/>
    <col min="289" max="289" width="11.6640625" style="164" customWidth="1"/>
    <col min="290" max="290" width="9.83203125" style="164" customWidth="1"/>
    <col min="291" max="291" width="10.1640625" style="164" customWidth="1"/>
    <col min="292" max="292" width="9" style="164" customWidth="1"/>
    <col min="293" max="293" width="9.83203125" style="164" customWidth="1"/>
    <col min="294" max="294" width="9" style="164" customWidth="1"/>
    <col min="295" max="483" width="9.33203125" style="164"/>
    <col min="484" max="484" width="13.5" style="164" customWidth="1"/>
    <col min="485" max="485" width="12.83203125" style="164" customWidth="1"/>
    <col min="486" max="486" width="11.1640625" style="164" customWidth="1"/>
    <col min="487" max="487" width="10.6640625" style="164" customWidth="1"/>
    <col min="488" max="488" width="8.5" style="164" customWidth="1"/>
    <col min="489" max="498" width="0" style="164" hidden="1" customWidth="1"/>
    <col min="499" max="499" width="12.5" style="164" customWidth="1"/>
    <col min="500" max="500" width="13.6640625" style="164" customWidth="1"/>
    <col min="501" max="504" width="0" style="164" hidden="1" customWidth="1"/>
    <col min="505" max="505" width="13.6640625" style="164" customWidth="1"/>
    <col min="506" max="506" width="12.5" style="164" customWidth="1"/>
    <col min="507" max="507" width="15.5" style="164" customWidth="1"/>
    <col min="508" max="508" width="13.6640625" style="164" customWidth="1"/>
    <col min="509" max="509" width="10.83203125" style="164" customWidth="1"/>
    <col min="510" max="510" width="10.33203125" style="164" customWidth="1"/>
    <col min="511" max="512" width="9.83203125" style="164" customWidth="1"/>
    <col min="513" max="513" width="10.83203125" style="164" customWidth="1"/>
    <col min="514" max="514" width="9.33203125" style="164" customWidth="1"/>
    <col min="515" max="517" width="9.83203125" style="164" customWidth="1"/>
    <col min="518" max="518" width="14.5" style="164" customWidth="1"/>
    <col min="519" max="519" width="18.1640625" style="164" customWidth="1"/>
    <col min="520" max="520" width="13.1640625" style="164" customWidth="1"/>
    <col min="521" max="521" width="13" style="164" customWidth="1"/>
    <col min="522" max="522" width="11" style="164" customWidth="1"/>
    <col min="523" max="527" width="0" style="164" hidden="1" customWidth="1"/>
    <col min="528" max="528" width="14.33203125" style="164" customWidth="1"/>
    <col min="529" max="531" width="0" style="164" hidden="1" customWidth="1"/>
    <col min="532" max="532" width="14.33203125" style="164" customWidth="1"/>
    <col min="533" max="535" width="0" style="164" hidden="1" customWidth="1"/>
    <col min="536" max="536" width="14.33203125" style="164" customWidth="1"/>
    <col min="537" max="539" width="0" style="164" hidden="1" customWidth="1"/>
    <col min="540" max="541" width="14.33203125" style="164" customWidth="1"/>
    <col min="542" max="542" width="14.1640625" style="164" customWidth="1"/>
    <col min="543" max="543" width="10.5" style="164" customWidth="1"/>
    <col min="544" max="544" width="10.1640625" style="164" customWidth="1"/>
    <col min="545" max="545" width="11.6640625" style="164" customWidth="1"/>
    <col min="546" max="546" width="9.83203125" style="164" customWidth="1"/>
    <col min="547" max="547" width="10.1640625" style="164" customWidth="1"/>
    <col min="548" max="548" width="9" style="164" customWidth="1"/>
    <col min="549" max="549" width="9.83203125" style="164" customWidth="1"/>
    <col min="550" max="550" width="9" style="164" customWidth="1"/>
    <col min="551" max="739" width="9.33203125" style="164"/>
    <col min="740" max="740" width="13.5" style="164" customWidth="1"/>
    <col min="741" max="741" width="12.83203125" style="164" customWidth="1"/>
    <col min="742" max="742" width="11.1640625" style="164" customWidth="1"/>
    <col min="743" max="743" width="10.6640625" style="164" customWidth="1"/>
    <col min="744" max="744" width="8.5" style="164" customWidth="1"/>
    <col min="745" max="754" width="0" style="164" hidden="1" customWidth="1"/>
    <col min="755" max="755" width="12.5" style="164" customWidth="1"/>
    <col min="756" max="756" width="13.6640625" style="164" customWidth="1"/>
    <col min="757" max="760" width="0" style="164" hidden="1" customWidth="1"/>
    <col min="761" max="761" width="13.6640625" style="164" customWidth="1"/>
    <col min="762" max="762" width="12.5" style="164" customWidth="1"/>
    <col min="763" max="763" width="15.5" style="164" customWidth="1"/>
    <col min="764" max="764" width="13.6640625" style="164" customWidth="1"/>
    <col min="765" max="765" width="10.83203125" style="164" customWidth="1"/>
    <col min="766" max="766" width="10.33203125" style="164" customWidth="1"/>
    <col min="767" max="768" width="9.83203125" style="164" customWidth="1"/>
    <col min="769" max="769" width="10.83203125" style="164" customWidth="1"/>
    <col min="770" max="770" width="9.33203125" style="164" customWidth="1"/>
    <col min="771" max="773" width="9.83203125" style="164" customWidth="1"/>
    <col min="774" max="774" width="14.5" style="164" customWidth="1"/>
    <col min="775" max="775" width="18.1640625" style="164" customWidth="1"/>
    <col min="776" max="776" width="13.1640625" style="164" customWidth="1"/>
    <col min="777" max="777" width="13" style="164" customWidth="1"/>
    <col min="778" max="778" width="11" style="164" customWidth="1"/>
    <col min="779" max="783" width="0" style="164" hidden="1" customWidth="1"/>
    <col min="784" max="784" width="14.33203125" style="164" customWidth="1"/>
    <col min="785" max="787" width="0" style="164" hidden="1" customWidth="1"/>
    <col min="788" max="788" width="14.33203125" style="164" customWidth="1"/>
    <col min="789" max="791" width="0" style="164" hidden="1" customWidth="1"/>
    <col min="792" max="792" width="14.33203125" style="164" customWidth="1"/>
    <col min="793" max="795" width="0" style="164" hidden="1" customWidth="1"/>
    <col min="796" max="797" width="14.33203125" style="164" customWidth="1"/>
    <col min="798" max="798" width="14.1640625" style="164" customWidth="1"/>
    <col min="799" max="799" width="10.5" style="164" customWidth="1"/>
    <col min="800" max="800" width="10.1640625" style="164" customWidth="1"/>
    <col min="801" max="801" width="11.6640625" style="164" customWidth="1"/>
    <col min="802" max="802" width="9.83203125" style="164" customWidth="1"/>
    <col min="803" max="803" width="10.1640625" style="164" customWidth="1"/>
    <col min="804" max="804" width="9" style="164" customWidth="1"/>
    <col min="805" max="805" width="9.83203125" style="164" customWidth="1"/>
    <col min="806" max="806" width="9" style="164" customWidth="1"/>
    <col min="807" max="995" width="9.33203125" style="164"/>
    <col min="996" max="996" width="13.5" style="164" customWidth="1"/>
    <col min="997" max="997" width="12.83203125" style="164" customWidth="1"/>
    <col min="998" max="998" width="11.1640625" style="164" customWidth="1"/>
    <col min="999" max="999" width="10.6640625" style="164" customWidth="1"/>
    <col min="1000" max="1000" width="8.5" style="164" customWidth="1"/>
    <col min="1001" max="1010" width="0" style="164" hidden="1" customWidth="1"/>
    <col min="1011" max="1011" width="12.5" style="164" customWidth="1"/>
    <col min="1012" max="1012" width="13.6640625" style="164" customWidth="1"/>
    <col min="1013" max="1016" width="0" style="164" hidden="1" customWidth="1"/>
    <col min="1017" max="1017" width="13.6640625" style="164" customWidth="1"/>
    <col min="1018" max="1018" width="12.5" style="164" customWidth="1"/>
    <col min="1019" max="1019" width="15.5" style="164" customWidth="1"/>
    <col min="1020" max="1020" width="13.6640625" style="164" customWidth="1"/>
    <col min="1021" max="1021" width="10.83203125" style="164" customWidth="1"/>
    <col min="1022" max="1022" width="10.33203125" style="164" customWidth="1"/>
    <col min="1023" max="1024" width="9.83203125" style="164" customWidth="1"/>
    <col min="1025" max="1025" width="10.83203125" style="164" customWidth="1"/>
    <col min="1026" max="1026" width="9.33203125" style="164" customWidth="1"/>
    <col min="1027" max="1029" width="9.83203125" style="164" customWidth="1"/>
    <col min="1030" max="1030" width="14.5" style="164" customWidth="1"/>
    <col min="1031" max="1031" width="18.1640625" style="164" customWidth="1"/>
    <col min="1032" max="1032" width="13.1640625" style="164" customWidth="1"/>
    <col min="1033" max="1033" width="13" style="164" customWidth="1"/>
    <col min="1034" max="1034" width="11" style="164" customWidth="1"/>
    <col min="1035" max="1039" width="0" style="164" hidden="1" customWidth="1"/>
    <col min="1040" max="1040" width="14.33203125" style="164" customWidth="1"/>
    <col min="1041" max="1043" width="0" style="164" hidden="1" customWidth="1"/>
    <col min="1044" max="1044" width="14.33203125" style="164" customWidth="1"/>
    <col min="1045" max="1047" width="0" style="164" hidden="1" customWidth="1"/>
    <col min="1048" max="1048" width="14.33203125" style="164" customWidth="1"/>
    <col min="1049" max="1051" width="0" style="164" hidden="1" customWidth="1"/>
    <col min="1052" max="1053" width="14.33203125" style="164" customWidth="1"/>
    <col min="1054" max="1054" width="14.1640625" style="164" customWidth="1"/>
    <col min="1055" max="1055" width="10.5" style="164" customWidth="1"/>
    <col min="1056" max="1056" width="10.1640625" style="164" customWidth="1"/>
    <col min="1057" max="1057" width="11.6640625" style="164" customWidth="1"/>
    <col min="1058" max="1058" width="9.83203125" style="164" customWidth="1"/>
    <col min="1059" max="1059" width="10.1640625" style="164" customWidth="1"/>
    <col min="1060" max="1060" width="9" style="164" customWidth="1"/>
    <col min="1061" max="1061" width="9.83203125" style="164" customWidth="1"/>
    <col min="1062" max="1062" width="9" style="164" customWidth="1"/>
    <col min="1063" max="1251" width="9.33203125" style="164"/>
    <col min="1252" max="1252" width="13.5" style="164" customWidth="1"/>
    <col min="1253" max="1253" width="12.83203125" style="164" customWidth="1"/>
    <col min="1254" max="1254" width="11.1640625" style="164" customWidth="1"/>
    <col min="1255" max="1255" width="10.6640625" style="164" customWidth="1"/>
    <col min="1256" max="1256" width="8.5" style="164" customWidth="1"/>
    <col min="1257" max="1266" width="0" style="164" hidden="1" customWidth="1"/>
    <col min="1267" max="1267" width="12.5" style="164" customWidth="1"/>
    <col min="1268" max="1268" width="13.6640625" style="164" customWidth="1"/>
    <col min="1269" max="1272" width="0" style="164" hidden="1" customWidth="1"/>
    <col min="1273" max="1273" width="13.6640625" style="164" customWidth="1"/>
    <col min="1274" max="1274" width="12.5" style="164" customWidth="1"/>
    <col min="1275" max="1275" width="15.5" style="164" customWidth="1"/>
    <col min="1276" max="1276" width="13.6640625" style="164" customWidth="1"/>
    <col min="1277" max="1277" width="10.83203125" style="164" customWidth="1"/>
    <col min="1278" max="1278" width="10.33203125" style="164" customWidth="1"/>
    <col min="1279" max="1280" width="9.83203125" style="164" customWidth="1"/>
    <col min="1281" max="1281" width="10.83203125" style="164" customWidth="1"/>
    <col min="1282" max="1282" width="9.33203125" style="164" customWidth="1"/>
    <col min="1283" max="1285" width="9.83203125" style="164" customWidth="1"/>
    <col min="1286" max="1286" width="14.5" style="164" customWidth="1"/>
    <col min="1287" max="1287" width="18.1640625" style="164" customWidth="1"/>
    <col min="1288" max="1288" width="13.1640625" style="164" customWidth="1"/>
    <col min="1289" max="1289" width="13" style="164" customWidth="1"/>
    <col min="1290" max="1290" width="11" style="164" customWidth="1"/>
    <col min="1291" max="1295" width="0" style="164" hidden="1" customWidth="1"/>
    <col min="1296" max="1296" width="14.33203125" style="164" customWidth="1"/>
    <col min="1297" max="1299" width="0" style="164" hidden="1" customWidth="1"/>
    <col min="1300" max="1300" width="14.33203125" style="164" customWidth="1"/>
    <col min="1301" max="1303" width="0" style="164" hidden="1" customWidth="1"/>
    <col min="1304" max="1304" width="14.33203125" style="164" customWidth="1"/>
    <col min="1305" max="1307" width="0" style="164" hidden="1" customWidth="1"/>
    <col min="1308" max="1309" width="14.33203125" style="164" customWidth="1"/>
    <col min="1310" max="1310" width="14.1640625" style="164" customWidth="1"/>
    <col min="1311" max="1311" width="10.5" style="164" customWidth="1"/>
    <col min="1312" max="1312" width="10.1640625" style="164" customWidth="1"/>
    <col min="1313" max="1313" width="11.6640625" style="164" customWidth="1"/>
    <col min="1314" max="1314" width="9.83203125" style="164" customWidth="1"/>
    <col min="1315" max="1315" width="10.1640625" style="164" customWidth="1"/>
    <col min="1316" max="1316" width="9" style="164" customWidth="1"/>
    <col min="1317" max="1317" width="9.83203125" style="164" customWidth="1"/>
    <col min="1318" max="1318" width="9" style="164" customWidth="1"/>
    <col min="1319" max="1507" width="9.33203125" style="164"/>
    <col min="1508" max="1508" width="13.5" style="164" customWidth="1"/>
    <col min="1509" max="1509" width="12.83203125" style="164" customWidth="1"/>
    <col min="1510" max="1510" width="11.1640625" style="164" customWidth="1"/>
    <col min="1511" max="1511" width="10.6640625" style="164" customWidth="1"/>
    <col min="1512" max="1512" width="8.5" style="164" customWidth="1"/>
    <col min="1513" max="1522" width="0" style="164" hidden="1" customWidth="1"/>
    <col min="1523" max="1523" width="12.5" style="164" customWidth="1"/>
    <col min="1524" max="1524" width="13.6640625" style="164" customWidth="1"/>
    <col min="1525" max="1528" width="0" style="164" hidden="1" customWidth="1"/>
    <col min="1529" max="1529" width="13.6640625" style="164" customWidth="1"/>
    <col min="1530" max="1530" width="12.5" style="164" customWidth="1"/>
    <col min="1531" max="1531" width="15.5" style="164" customWidth="1"/>
    <col min="1532" max="1532" width="13.6640625" style="164" customWidth="1"/>
    <col min="1533" max="1533" width="10.83203125" style="164" customWidth="1"/>
    <col min="1534" max="1534" width="10.33203125" style="164" customWidth="1"/>
    <col min="1535" max="1536" width="9.83203125" style="164" customWidth="1"/>
    <col min="1537" max="1537" width="10.83203125" style="164" customWidth="1"/>
    <col min="1538" max="1538" width="9.33203125" style="164" customWidth="1"/>
    <col min="1539" max="1541" width="9.83203125" style="164" customWidth="1"/>
    <col min="1542" max="1542" width="14.5" style="164" customWidth="1"/>
    <col min="1543" max="1543" width="18.1640625" style="164" customWidth="1"/>
    <col min="1544" max="1544" width="13.1640625" style="164" customWidth="1"/>
    <col min="1545" max="1545" width="13" style="164" customWidth="1"/>
    <col min="1546" max="1546" width="11" style="164" customWidth="1"/>
    <col min="1547" max="1551" width="0" style="164" hidden="1" customWidth="1"/>
    <col min="1552" max="1552" width="14.33203125" style="164" customWidth="1"/>
    <col min="1553" max="1555" width="0" style="164" hidden="1" customWidth="1"/>
    <col min="1556" max="1556" width="14.33203125" style="164" customWidth="1"/>
    <col min="1557" max="1559" width="0" style="164" hidden="1" customWidth="1"/>
    <col min="1560" max="1560" width="14.33203125" style="164" customWidth="1"/>
    <col min="1561" max="1563" width="0" style="164" hidden="1" customWidth="1"/>
    <col min="1564" max="1565" width="14.33203125" style="164" customWidth="1"/>
    <col min="1566" max="1566" width="14.1640625" style="164" customWidth="1"/>
    <col min="1567" max="1567" width="10.5" style="164" customWidth="1"/>
    <col min="1568" max="1568" width="10.1640625" style="164" customWidth="1"/>
    <col min="1569" max="1569" width="11.6640625" style="164" customWidth="1"/>
    <col min="1570" max="1570" width="9.83203125" style="164" customWidth="1"/>
    <col min="1571" max="1571" width="10.1640625" style="164" customWidth="1"/>
    <col min="1572" max="1572" width="9" style="164" customWidth="1"/>
    <col min="1573" max="1573" width="9.83203125" style="164" customWidth="1"/>
    <col min="1574" max="1574" width="9" style="164" customWidth="1"/>
    <col min="1575" max="1763" width="9.33203125" style="164"/>
    <col min="1764" max="1764" width="13.5" style="164" customWidth="1"/>
    <col min="1765" max="1765" width="12.83203125" style="164" customWidth="1"/>
    <col min="1766" max="1766" width="11.1640625" style="164" customWidth="1"/>
    <col min="1767" max="1767" width="10.6640625" style="164" customWidth="1"/>
    <col min="1768" max="1768" width="8.5" style="164" customWidth="1"/>
    <col min="1769" max="1778" width="0" style="164" hidden="1" customWidth="1"/>
    <col min="1779" max="1779" width="12.5" style="164" customWidth="1"/>
    <col min="1780" max="1780" width="13.6640625" style="164" customWidth="1"/>
    <col min="1781" max="1784" width="0" style="164" hidden="1" customWidth="1"/>
    <col min="1785" max="1785" width="13.6640625" style="164" customWidth="1"/>
    <col min="1786" max="1786" width="12.5" style="164" customWidth="1"/>
    <col min="1787" max="1787" width="15.5" style="164" customWidth="1"/>
    <col min="1788" max="1788" width="13.6640625" style="164" customWidth="1"/>
    <col min="1789" max="1789" width="10.83203125" style="164" customWidth="1"/>
    <col min="1790" max="1790" width="10.33203125" style="164" customWidth="1"/>
    <col min="1791" max="1792" width="9.83203125" style="164" customWidth="1"/>
    <col min="1793" max="1793" width="10.83203125" style="164" customWidth="1"/>
    <col min="1794" max="1794" width="9.33203125" style="164" customWidth="1"/>
    <col min="1795" max="1797" width="9.83203125" style="164" customWidth="1"/>
    <col min="1798" max="1798" width="14.5" style="164" customWidth="1"/>
    <col min="1799" max="1799" width="18.1640625" style="164" customWidth="1"/>
    <col min="1800" max="1800" width="13.1640625" style="164" customWidth="1"/>
    <col min="1801" max="1801" width="13" style="164" customWidth="1"/>
    <col min="1802" max="1802" width="11" style="164" customWidth="1"/>
    <col min="1803" max="1807" width="0" style="164" hidden="1" customWidth="1"/>
    <col min="1808" max="1808" width="14.33203125" style="164" customWidth="1"/>
    <col min="1809" max="1811" width="0" style="164" hidden="1" customWidth="1"/>
    <col min="1812" max="1812" width="14.33203125" style="164" customWidth="1"/>
    <col min="1813" max="1815" width="0" style="164" hidden="1" customWidth="1"/>
    <col min="1816" max="1816" width="14.33203125" style="164" customWidth="1"/>
    <col min="1817" max="1819" width="0" style="164" hidden="1" customWidth="1"/>
    <col min="1820" max="1821" width="14.33203125" style="164" customWidth="1"/>
    <col min="1822" max="1822" width="14.1640625" style="164" customWidth="1"/>
    <col min="1823" max="1823" width="10.5" style="164" customWidth="1"/>
    <col min="1824" max="1824" width="10.1640625" style="164" customWidth="1"/>
    <col min="1825" max="1825" width="11.6640625" style="164" customWidth="1"/>
    <col min="1826" max="1826" width="9.83203125" style="164" customWidth="1"/>
    <col min="1827" max="1827" width="10.1640625" style="164" customWidth="1"/>
    <col min="1828" max="1828" width="9" style="164" customWidth="1"/>
    <col min="1829" max="1829" width="9.83203125" style="164" customWidth="1"/>
    <col min="1830" max="1830" width="9" style="164" customWidth="1"/>
    <col min="1831" max="2019" width="9.33203125" style="164"/>
    <col min="2020" max="2020" width="13.5" style="164" customWidth="1"/>
    <col min="2021" max="2021" width="12.83203125" style="164" customWidth="1"/>
    <col min="2022" max="2022" width="11.1640625" style="164" customWidth="1"/>
    <col min="2023" max="2023" width="10.6640625" style="164" customWidth="1"/>
    <col min="2024" max="2024" width="8.5" style="164" customWidth="1"/>
    <col min="2025" max="2034" width="0" style="164" hidden="1" customWidth="1"/>
    <col min="2035" max="2035" width="12.5" style="164" customWidth="1"/>
    <col min="2036" max="2036" width="13.6640625" style="164" customWidth="1"/>
    <col min="2037" max="2040" width="0" style="164" hidden="1" customWidth="1"/>
    <col min="2041" max="2041" width="13.6640625" style="164" customWidth="1"/>
    <col min="2042" max="2042" width="12.5" style="164" customWidth="1"/>
    <col min="2043" max="2043" width="15.5" style="164" customWidth="1"/>
    <col min="2044" max="2044" width="13.6640625" style="164" customWidth="1"/>
    <col min="2045" max="2045" width="10.83203125" style="164" customWidth="1"/>
    <col min="2046" max="2046" width="10.33203125" style="164" customWidth="1"/>
    <col min="2047" max="2048" width="9.83203125" style="164" customWidth="1"/>
    <col min="2049" max="2049" width="10.83203125" style="164" customWidth="1"/>
    <col min="2050" max="2050" width="9.33203125" style="164" customWidth="1"/>
    <col min="2051" max="2053" width="9.83203125" style="164" customWidth="1"/>
    <col min="2054" max="2054" width="14.5" style="164" customWidth="1"/>
    <col min="2055" max="2055" width="18.1640625" style="164" customWidth="1"/>
    <col min="2056" max="2056" width="13.1640625" style="164" customWidth="1"/>
    <col min="2057" max="2057" width="13" style="164" customWidth="1"/>
    <col min="2058" max="2058" width="11" style="164" customWidth="1"/>
    <col min="2059" max="2063" width="0" style="164" hidden="1" customWidth="1"/>
    <col min="2064" max="2064" width="14.33203125" style="164" customWidth="1"/>
    <col min="2065" max="2067" width="0" style="164" hidden="1" customWidth="1"/>
    <col min="2068" max="2068" width="14.33203125" style="164" customWidth="1"/>
    <col min="2069" max="2071" width="0" style="164" hidden="1" customWidth="1"/>
    <col min="2072" max="2072" width="14.33203125" style="164" customWidth="1"/>
    <col min="2073" max="2075" width="0" style="164" hidden="1" customWidth="1"/>
    <col min="2076" max="2077" width="14.33203125" style="164" customWidth="1"/>
    <col min="2078" max="2078" width="14.1640625" style="164" customWidth="1"/>
    <col min="2079" max="2079" width="10.5" style="164" customWidth="1"/>
    <col min="2080" max="2080" width="10.1640625" style="164" customWidth="1"/>
    <col min="2081" max="2081" width="11.6640625" style="164" customWidth="1"/>
    <col min="2082" max="2082" width="9.83203125" style="164" customWidth="1"/>
    <col min="2083" max="2083" width="10.1640625" style="164" customWidth="1"/>
    <col min="2084" max="2084" width="9" style="164" customWidth="1"/>
    <col min="2085" max="2085" width="9.83203125" style="164" customWidth="1"/>
    <col min="2086" max="2086" width="9" style="164" customWidth="1"/>
    <col min="2087" max="2275" width="9.33203125" style="164"/>
    <col min="2276" max="2276" width="13.5" style="164" customWidth="1"/>
    <col min="2277" max="2277" width="12.83203125" style="164" customWidth="1"/>
    <col min="2278" max="2278" width="11.1640625" style="164" customWidth="1"/>
    <col min="2279" max="2279" width="10.6640625" style="164" customWidth="1"/>
    <col min="2280" max="2280" width="8.5" style="164" customWidth="1"/>
    <col min="2281" max="2290" width="0" style="164" hidden="1" customWidth="1"/>
    <col min="2291" max="2291" width="12.5" style="164" customWidth="1"/>
    <col min="2292" max="2292" width="13.6640625" style="164" customWidth="1"/>
    <col min="2293" max="2296" width="0" style="164" hidden="1" customWidth="1"/>
    <col min="2297" max="2297" width="13.6640625" style="164" customWidth="1"/>
    <col min="2298" max="2298" width="12.5" style="164" customWidth="1"/>
    <col min="2299" max="2299" width="15.5" style="164" customWidth="1"/>
    <col min="2300" max="2300" width="13.6640625" style="164" customWidth="1"/>
    <col min="2301" max="2301" width="10.83203125" style="164" customWidth="1"/>
    <col min="2302" max="2302" width="10.33203125" style="164" customWidth="1"/>
    <col min="2303" max="2304" width="9.83203125" style="164" customWidth="1"/>
    <col min="2305" max="2305" width="10.83203125" style="164" customWidth="1"/>
    <col min="2306" max="2306" width="9.33203125" style="164" customWidth="1"/>
    <col min="2307" max="2309" width="9.83203125" style="164" customWidth="1"/>
    <col min="2310" max="2310" width="14.5" style="164" customWidth="1"/>
    <col min="2311" max="2311" width="18.1640625" style="164" customWidth="1"/>
    <col min="2312" max="2312" width="13.1640625" style="164" customWidth="1"/>
    <col min="2313" max="2313" width="13" style="164" customWidth="1"/>
    <col min="2314" max="2314" width="11" style="164" customWidth="1"/>
    <col min="2315" max="2319" width="0" style="164" hidden="1" customWidth="1"/>
    <col min="2320" max="2320" width="14.33203125" style="164" customWidth="1"/>
    <col min="2321" max="2323" width="0" style="164" hidden="1" customWidth="1"/>
    <col min="2324" max="2324" width="14.33203125" style="164" customWidth="1"/>
    <col min="2325" max="2327" width="0" style="164" hidden="1" customWidth="1"/>
    <col min="2328" max="2328" width="14.33203125" style="164" customWidth="1"/>
    <col min="2329" max="2331" width="0" style="164" hidden="1" customWidth="1"/>
    <col min="2332" max="2333" width="14.33203125" style="164" customWidth="1"/>
    <col min="2334" max="2334" width="14.1640625" style="164" customWidth="1"/>
    <col min="2335" max="2335" width="10.5" style="164" customWidth="1"/>
    <col min="2336" max="2336" width="10.1640625" style="164" customWidth="1"/>
    <col min="2337" max="2337" width="11.6640625" style="164" customWidth="1"/>
    <col min="2338" max="2338" width="9.83203125" style="164" customWidth="1"/>
    <col min="2339" max="2339" width="10.1640625" style="164" customWidth="1"/>
    <col min="2340" max="2340" width="9" style="164" customWidth="1"/>
    <col min="2341" max="2341" width="9.83203125" style="164" customWidth="1"/>
    <col min="2342" max="2342" width="9" style="164" customWidth="1"/>
    <col min="2343" max="2531" width="9.33203125" style="164"/>
    <col min="2532" max="2532" width="13.5" style="164" customWidth="1"/>
    <col min="2533" max="2533" width="12.83203125" style="164" customWidth="1"/>
    <col min="2534" max="2534" width="11.1640625" style="164" customWidth="1"/>
    <col min="2535" max="2535" width="10.6640625" style="164" customWidth="1"/>
    <col min="2536" max="2536" width="8.5" style="164" customWidth="1"/>
    <col min="2537" max="2546" width="0" style="164" hidden="1" customWidth="1"/>
    <col min="2547" max="2547" width="12.5" style="164" customWidth="1"/>
    <col min="2548" max="2548" width="13.6640625" style="164" customWidth="1"/>
    <col min="2549" max="2552" width="0" style="164" hidden="1" customWidth="1"/>
    <col min="2553" max="2553" width="13.6640625" style="164" customWidth="1"/>
    <col min="2554" max="2554" width="12.5" style="164" customWidth="1"/>
    <col min="2555" max="2555" width="15.5" style="164" customWidth="1"/>
    <col min="2556" max="2556" width="13.6640625" style="164" customWidth="1"/>
    <col min="2557" max="2557" width="10.83203125" style="164" customWidth="1"/>
    <col min="2558" max="2558" width="10.33203125" style="164" customWidth="1"/>
    <col min="2559" max="2560" width="9.83203125" style="164" customWidth="1"/>
    <col min="2561" max="2561" width="10.83203125" style="164" customWidth="1"/>
    <col min="2562" max="2562" width="9.33203125" style="164" customWidth="1"/>
    <col min="2563" max="2565" width="9.83203125" style="164" customWidth="1"/>
    <col min="2566" max="2566" width="14.5" style="164" customWidth="1"/>
    <col min="2567" max="2567" width="18.1640625" style="164" customWidth="1"/>
    <col min="2568" max="2568" width="13.1640625" style="164" customWidth="1"/>
    <col min="2569" max="2569" width="13" style="164" customWidth="1"/>
    <col min="2570" max="2570" width="11" style="164" customWidth="1"/>
    <col min="2571" max="2575" width="0" style="164" hidden="1" customWidth="1"/>
    <col min="2576" max="2576" width="14.33203125" style="164" customWidth="1"/>
    <col min="2577" max="2579" width="0" style="164" hidden="1" customWidth="1"/>
    <col min="2580" max="2580" width="14.33203125" style="164" customWidth="1"/>
    <col min="2581" max="2583" width="0" style="164" hidden="1" customWidth="1"/>
    <col min="2584" max="2584" width="14.33203125" style="164" customWidth="1"/>
    <col min="2585" max="2587" width="0" style="164" hidden="1" customWidth="1"/>
    <col min="2588" max="2589" width="14.33203125" style="164" customWidth="1"/>
    <col min="2590" max="2590" width="14.1640625" style="164" customWidth="1"/>
    <col min="2591" max="2591" width="10.5" style="164" customWidth="1"/>
    <col min="2592" max="2592" width="10.1640625" style="164" customWidth="1"/>
    <col min="2593" max="2593" width="11.6640625" style="164" customWidth="1"/>
    <col min="2594" max="2594" width="9.83203125" style="164" customWidth="1"/>
    <col min="2595" max="2595" width="10.1640625" style="164" customWidth="1"/>
    <col min="2596" max="2596" width="9" style="164" customWidth="1"/>
    <col min="2597" max="2597" width="9.83203125" style="164" customWidth="1"/>
    <col min="2598" max="2598" width="9" style="164" customWidth="1"/>
    <col min="2599" max="2787" width="9.33203125" style="164"/>
    <col min="2788" max="2788" width="13.5" style="164" customWidth="1"/>
    <col min="2789" max="2789" width="12.83203125" style="164" customWidth="1"/>
    <col min="2790" max="2790" width="11.1640625" style="164" customWidth="1"/>
    <col min="2791" max="2791" width="10.6640625" style="164" customWidth="1"/>
    <col min="2792" max="2792" width="8.5" style="164" customWidth="1"/>
    <col min="2793" max="2802" width="0" style="164" hidden="1" customWidth="1"/>
    <col min="2803" max="2803" width="12.5" style="164" customWidth="1"/>
    <col min="2804" max="2804" width="13.6640625" style="164" customWidth="1"/>
    <col min="2805" max="2808" width="0" style="164" hidden="1" customWidth="1"/>
    <col min="2809" max="2809" width="13.6640625" style="164" customWidth="1"/>
    <col min="2810" max="2810" width="12.5" style="164" customWidth="1"/>
    <col min="2811" max="2811" width="15.5" style="164" customWidth="1"/>
    <col min="2812" max="2812" width="13.6640625" style="164" customWidth="1"/>
    <col min="2813" max="2813" width="10.83203125" style="164" customWidth="1"/>
    <col min="2814" max="2814" width="10.33203125" style="164" customWidth="1"/>
    <col min="2815" max="2816" width="9.83203125" style="164" customWidth="1"/>
    <col min="2817" max="2817" width="10.83203125" style="164" customWidth="1"/>
    <col min="2818" max="2818" width="9.33203125" style="164" customWidth="1"/>
    <col min="2819" max="2821" width="9.83203125" style="164" customWidth="1"/>
    <col min="2822" max="2822" width="14.5" style="164" customWidth="1"/>
    <col min="2823" max="2823" width="18.1640625" style="164" customWidth="1"/>
    <col min="2824" max="2824" width="13.1640625" style="164" customWidth="1"/>
    <col min="2825" max="2825" width="13" style="164" customWidth="1"/>
    <col min="2826" max="2826" width="11" style="164" customWidth="1"/>
    <col min="2827" max="2831" width="0" style="164" hidden="1" customWidth="1"/>
    <col min="2832" max="2832" width="14.33203125" style="164" customWidth="1"/>
    <col min="2833" max="2835" width="0" style="164" hidden="1" customWidth="1"/>
    <col min="2836" max="2836" width="14.33203125" style="164" customWidth="1"/>
    <col min="2837" max="2839" width="0" style="164" hidden="1" customWidth="1"/>
    <col min="2840" max="2840" width="14.33203125" style="164" customWidth="1"/>
    <col min="2841" max="2843" width="0" style="164" hidden="1" customWidth="1"/>
    <col min="2844" max="2845" width="14.33203125" style="164" customWidth="1"/>
    <col min="2846" max="2846" width="14.1640625" style="164" customWidth="1"/>
    <col min="2847" max="2847" width="10.5" style="164" customWidth="1"/>
    <col min="2848" max="2848" width="10.1640625" style="164" customWidth="1"/>
    <col min="2849" max="2849" width="11.6640625" style="164" customWidth="1"/>
    <col min="2850" max="2850" width="9.83203125" style="164" customWidth="1"/>
    <col min="2851" max="2851" width="10.1640625" style="164" customWidth="1"/>
    <col min="2852" max="2852" width="9" style="164" customWidth="1"/>
    <col min="2853" max="2853" width="9.83203125" style="164" customWidth="1"/>
    <col min="2854" max="2854" width="9" style="164" customWidth="1"/>
    <col min="2855" max="3043" width="9.33203125" style="164"/>
    <col min="3044" max="3044" width="13.5" style="164" customWidth="1"/>
    <col min="3045" max="3045" width="12.83203125" style="164" customWidth="1"/>
    <col min="3046" max="3046" width="11.1640625" style="164" customWidth="1"/>
    <col min="3047" max="3047" width="10.6640625" style="164" customWidth="1"/>
    <col min="3048" max="3048" width="8.5" style="164" customWidth="1"/>
    <col min="3049" max="3058" width="0" style="164" hidden="1" customWidth="1"/>
    <col min="3059" max="3059" width="12.5" style="164" customWidth="1"/>
    <col min="3060" max="3060" width="13.6640625" style="164" customWidth="1"/>
    <col min="3061" max="3064" width="0" style="164" hidden="1" customWidth="1"/>
    <col min="3065" max="3065" width="13.6640625" style="164" customWidth="1"/>
    <col min="3066" max="3066" width="12.5" style="164" customWidth="1"/>
    <col min="3067" max="3067" width="15.5" style="164" customWidth="1"/>
    <col min="3068" max="3068" width="13.6640625" style="164" customWidth="1"/>
    <col min="3069" max="3069" width="10.83203125" style="164" customWidth="1"/>
    <col min="3070" max="3070" width="10.33203125" style="164" customWidth="1"/>
    <col min="3071" max="3072" width="9.83203125" style="164" customWidth="1"/>
    <col min="3073" max="3073" width="10.83203125" style="164" customWidth="1"/>
    <col min="3074" max="3074" width="9.33203125" style="164" customWidth="1"/>
    <col min="3075" max="3077" width="9.83203125" style="164" customWidth="1"/>
    <col min="3078" max="3078" width="14.5" style="164" customWidth="1"/>
    <col min="3079" max="3079" width="18.1640625" style="164" customWidth="1"/>
    <col min="3080" max="3080" width="13.1640625" style="164" customWidth="1"/>
    <col min="3081" max="3081" width="13" style="164" customWidth="1"/>
    <col min="3082" max="3082" width="11" style="164" customWidth="1"/>
    <col min="3083" max="3087" width="0" style="164" hidden="1" customWidth="1"/>
    <col min="3088" max="3088" width="14.33203125" style="164" customWidth="1"/>
    <col min="3089" max="3091" width="0" style="164" hidden="1" customWidth="1"/>
    <col min="3092" max="3092" width="14.33203125" style="164" customWidth="1"/>
    <col min="3093" max="3095" width="0" style="164" hidden="1" customWidth="1"/>
    <col min="3096" max="3096" width="14.33203125" style="164" customWidth="1"/>
    <col min="3097" max="3099" width="0" style="164" hidden="1" customWidth="1"/>
    <col min="3100" max="3101" width="14.33203125" style="164" customWidth="1"/>
    <col min="3102" max="3102" width="14.1640625" style="164" customWidth="1"/>
    <col min="3103" max="3103" width="10.5" style="164" customWidth="1"/>
    <col min="3104" max="3104" width="10.1640625" style="164" customWidth="1"/>
    <col min="3105" max="3105" width="11.6640625" style="164" customWidth="1"/>
    <col min="3106" max="3106" width="9.83203125" style="164" customWidth="1"/>
    <col min="3107" max="3107" width="10.1640625" style="164" customWidth="1"/>
    <col min="3108" max="3108" width="9" style="164" customWidth="1"/>
    <col min="3109" max="3109" width="9.83203125" style="164" customWidth="1"/>
    <col min="3110" max="3110" width="9" style="164" customWidth="1"/>
    <col min="3111" max="3299" width="9.33203125" style="164"/>
    <col min="3300" max="3300" width="13.5" style="164" customWidth="1"/>
    <col min="3301" max="3301" width="12.83203125" style="164" customWidth="1"/>
    <col min="3302" max="3302" width="11.1640625" style="164" customWidth="1"/>
    <col min="3303" max="3303" width="10.6640625" style="164" customWidth="1"/>
    <col min="3304" max="3304" width="8.5" style="164" customWidth="1"/>
    <col min="3305" max="3314" width="0" style="164" hidden="1" customWidth="1"/>
    <col min="3315" max="3315" width="12.5" style="164" customWidth="1"/>
    <col min="3316" max="3316" width="13.6640625" style="164" customWidth="1"/>
    <col min="3317" max="3320" width="0" style="164" hidden="1" customWidth="1"/>
    <col min="3321" max="3321" width="13.6640625" style="164" customWidth="1"/>
    <col min="3322" max="3322" width="12.5" style="164" customWidth="1"/>
    <col min="3323" max="3323" width="15.5" style="164" customWidth="1"/>
    <col min="3324" max="3324" width="13.6640625" style="164" customWidth="1"/>
    <col min="3325" max="3325" width="10.83203125" style="164" customWidth="1"/>
    <col min="3326" max="3326" width="10.33203125" style="164" customWidth="1"/>
    <col min="3327" max="3328" width="9.83203125" style="164" customWidth="1"/>
    <col min="3329" max="3329" width="10.83203125" style="164" customWidth="1"/>
    <col min="3330" max="3330" width="9.33203125" style="164" customWidth="1"/>
    <col min="3331" max="3333" width="9.83203125" style="164" customWidth="1"/>
    <col min="3334" max="3334" width="14.5" style="164" customWidth="1"/>
    <col min="3335" max="3335" width="18.1640625" style="164" customWidth="1"/>
    <col min="3336" max="3336" width="13.1640625" style="164" customWidth="1"/>
    <col min="3337" max="3337" width="13" style="164" customWidth="1"/>
    <col min="3338" max="3338" width="11" style="164" customWidth="1"/>
    <col min="3339" max="3343" width="0" style="164" hidden="1" customWidth="1"/>
    <col min="3344" max="3344" width="14.33203125" style="164" customWidth="1"/>
    <col min="3345" max="3347" width="0" style="164" hidden="1" customWidth="1"/>
    <col min="3348" max="3348" width="14.33203125" style="164" customWidth="1"/>
    <col min="3349" max="3351" width="0" style="164" hidden="1" customWidth="1"/>
    <col min="3352" max="3352" width="14.33203125" style="164" customWidth="1"/>
    <col min="3353" max="3355" width="0" style="164" hidden="1" customWidth="1"/>
    <col min="3356" max="3357" width="14.33203125" style="164" customWidth="1"/>
    <col min="3358" max="3358" width="14.1640625" style="164" customWidth="1"/>
    <col min="3359" max="3359" width="10.5" style="164" customWidth="1"/>
    <col min="3360" max="3360" width="10.1640625" style="164" customWidth="1"/>
    <col min="3361" max="3361" width="11.6640625" style="164" customWidth="1"/>
    <col min="3362" max="3362" width="9.83203125" style="164" customWidth="1"/>
    <col min="3363" max="3363" width="10.1640625" style="164" customWidth="1"/>
    <col min="3364" max="3364" width="9" style="164" customWidth="1"/>
    <col min="3365" max="3365" width="9.83203125" style="164" customWidth="1"/>
    <col min="3366" max="3366" width="9" style="164" customWidth="1"/>
    <col min="3367" max="3555" width="9.33203125" style="164"/>
    <col min="3556" max="3556" width="13.5" style="164" customWidth="1"/>
    <col min="3557" max="3557" width="12.83203125" style="164" customWidth="1"/>
    <col min="3558" max="3558" width="11.1640625" style="164" customWidth="1"/>
    <col min="3559" max="3559" width="10.6640625" style="164" customWidth="1"/>
    <col min="3560" max="3560" width="8.5" style="164" customWidth="1"/>
    <col min="3561" max="3570" width="0" style="164" hidden="1" customWidth="1"/>
    <col min="3571" max="3571" width="12.5" style="164" customWidth="1"/>
    <col min="3572" max="3572" width="13.6640625" style="164" customWidth="1"/>
    <col min="3573" max="3576" width="0" style="164" hidden="1" customWidth="1"/>
    <col min="3577" max="3577" width="13.6640625" style="164" customWidth="1"/>
    <col min="3578" max="3578" width="12.5" style="164" customWidth="1"/>
    <col min="3579" max="3579" width="15.5" style="164" customWidth="1"/>
    <col min="3580" max="3580" width="13.6640625" style="164" customWidth="1"/>
    <col min="3581" max="3581" width="10.83203125" style="164" customWidth="1"/>
    <col min="3582" max="3582" width="10.33203125" style="164" customWidth="1"/>
    <col min="3583" max="3584" width="9.83203125" style="164" customWidth="1"/>
    <col min="3585" max="3585" width="10.83203125" style="164" customWidth="1"/>
    <col min="3586" max="3586" width="9.33203125" style="164" customWidth="1"/>
    <col min="3587" max="3589" width="9.83203125" style="164" customWidth="1"/>
    <col min="3590" max="3590" width="14.5" style="164" customWidth="1"/>
    <col min="3591" max="3591" width="18.1640625" style="164" customWidth="1"/>
    <col min="3592" max="3592" width="13.1640625" style="164" customWidth="1"/>
    <col min="3593" max="3593" width="13" style="164" customWidth="1"/>
    <col min="3594" max="3594" width="11" style="164" customWidth="1"/>
    <col min="3595" max="3599" width="0" style="164" hidden="1" customWidth="1"/>
    <col min="3600" max="3600" width="14.33203125" style="164" customWidth="1"/>
    <col min="3601" max="3603" width="0" style="164" hidden="1" customWidth="1"/>
    <col min="3604" max="3604" width="14.33203125" style="164" customWidth="1"/>
    <col min="3605" max="3607" width="0" style="164" hidden="1" customWidth="1"/>
    <col min="3608" max="3608" width="14.33203125" style="164" customWidth="1"/>
    <col min="3609" max="3611" width="0" style="164" hidden="1" customWidth="1"/>
    <col min="3612" max="3613" width="14.33203125" style="164" customWidth="1"/>
    <col min="3614" max="3614" width="14.1640625" style="164" customWidth="1"/>
    <col min="3615" max="3615" width="10.5" style="164" customWidth="1"/>
    <col min="3616" max="3616" width="10.1640625" style="164" customWidth="1"/>
    <col min="3617" max="3617" width="11.6640625" style="164" customWidth="1"/>
    <col min="3618" max="3618" width="9.83203125" style="164" customWidth="1"/>
    <col min="3619" max="3619" width="10.1640625" style="164" customWidth="1"/>
    <col min="3620" max="3620" width="9" style="164" customWidth="1"/>
    <col min="3621" max="3621" width="9.83203125" style="164" customWidth="1"/>
    <col min="3622" max="3622" width="9" style="164" customWidth="1"/>
    <col min="3623" max="3811" width="9.33203125" style="164"/>
    <col min="3812" max="3812" width="13.5" style="164" customWidth="1"/>
    <col min="3813" max="3813" width="12.83203125" style="164" customWidth="1"/>
    <col min="3814" max="3814" width="11.1640625" style="164" customWidth="1"/>
    <col min="3815" max="3815" width="10.6640625" style="164" customWidth="1"/>
    <col min="3816" max="3816" width="8.5" style="164" customWidth="1"/>
    <col min="3817" max="3826" width="0" style="164" hidden="1" customWidth="1"/>
    <col min="3827" max="3827" width="12.5" style="164" customWidth="1"/>
    <col min="3828" max="3828" width="13.6640625" style="164" customWidth="1"/>
    <col min="3829" max="3832" width="0" style="164" hidden="1" customWidth="1"/>
    <col min="3833" max="3833" width="13.6640625" style="164" customWidth="1"/>
    <col min="3834" max="3834" width="12.5" style="164" customWidth="1"/>
    <col min="3835" max="3835" width="15.5" style="164" customWidth="1"/>
    <col min="3836" max="3836" width="13.6640625" style="164" customWidth="1"/>
    <col min="3837" max="3837" width="10.83203125" style="164" customWidth="1"/>
    <col min="3838" max="3838" width="10.33203125" style="164" customWidth="1"/>
    <col min="3839" max="3840" width="9.83203125" style="164" customWidth="1"/>
    <col min="3841" max="3841" width="10.83203125" style="164" customWidth="1"/>
    <col min="3842" max="3842" width="9.33203125" style="164" customWidth="1"/>
    <col min="3843" max="3845" width="9.83203125" style="164" customWidth="1"/>
    <col min="3846" max="3846" width="14.5" style="164" customWidth="1"/>
    <col min="3847" max="3847" width="18.1640625" style="164" customWidth="1"/>
    <col min="3848" max="3848" width="13.1640625" style="164" customWidth="1"/>
    <col min="3849" max="3849" width="13" style="164" customWidth="1"/>
    <col min="3850" max="3850" width="11" style="164" customWidth="1"/>
    <col min="3851" max="3855" width="0" style="164" hidden="1" customWidth="1"/>
    <col min="3856" max="3856" width="14.33203125" style="164" customWidth="1"/>
    <col min="3857" max="3859" width="0" style="164" hidden="1" customWidth="1"/>
    <col min="3860" max="3860" width="14.33203125" style="164" customWidth="1"/>
    <col min="3861" max="3863" width="0" style="164" hidden="1" customWidth="1"/>
    <col min="3864" max="3864" width="14.33203125" style="164" customWidth="1"/>
    <col min="3865" max="3867" width="0" style="164" hidden="1" customWidth="1"/>
    <col min="3868" max="3869" width="14.33203125" style="164" customWidth="1"/>
    <col min="3870" max="3870" width="14.1640625" style="164" customWidth="1"/>
    <col min="3871" max="3871" width="10.5" style="164" customWidth="1"/>
    <col min="3872" max="3872" width="10.1640625" style="164" customWidth="1"/>
    <col min="3873" max="3873" width="11.6640625" style="164" customWidth="1"/>
    <col min="3874" max="3874" width="9.83203125" style="164" customWidth="1"/>
    <col min="3875" max="3875" width="10.1640625" style="164" customWidth="1"/>
    <col min="3876" max="3876" width="9" style="164" customWidth="1"/>
    <col min="3877" max="3877" width="9.83203125" style="164" customWidth="1"/>
    <col min="3878" max="3878" width="9" style="164" customWidth="1"/>
    <col min="3879" max="4067" width="9.33203125" style="164"/>
    <col min="4068" max="4068" width="13.5" style="164" customWidth="1"/>
    <col min="4069" max="4069" width="12.83203125" style="164" customWidth="1"/>
    <col min="4070" max="4070" width="11.1640625" style="164" customWidth="1"/>
    <col min="4071" max="4071" width="10.6640625" style="164" customWidth="1"/>
    <col min="4072" max="4072" width="8.5" style="164" customWidth="1"/>
    <col min="4073" max="4082" width="0" style="164" hidden="1" customWidth="1"/>
    <col min="4083" max="4083" width="12.5" style="164" customWidth="1"/>
    <col min="4084" max="4084" width="13.6640625" style="164" customWidth="1"/>
    <col min="4085" max="4088" width="0" style="164" hidden="1" customWidth="1"/>
    <col min="4089" max="4089" width="13.6640625" style="164" customWidth="1"/>
    <col min="4090" max="4090" width="12.5" style="164" customWidth="1"/>
    <col min="4091" max="4091" width="15.5" style="164" customWidth="1"/>
    <col min="4092" max="4092" width="13.6640625" style="164" customWidth="1"/>
    <col min="4093" max="4093" width="10.83203125" style="164" customWidth="1"/>
    <col min="4094" max="4094" width="10.33203125" style="164" customWidth="1"/>
    <col min="4095" max="4096" width="9.83203125" style="164" customWidth="1"/>
    <col min="4097" max="4097" width="10.83203125" style="164" customWidth="1"/>
    <col min="4098" max="4098" width="9.33203125" style="164" customWidth="1"/>
    <col min="4099" max="4101" width="9.83203125" style="164" customWidth="1"/>
    <col min="4102" max="4102" width="14.5" style="164" customWidth="1"/>
    <col min="4103" max="4103" width="18.1640625" style="164" customWidth="1"/>
    <col min="4104" max="4104" width="13.1640625" style="164" customWidth="1"/>
    <col min="4105" max="4105" width="13" style="164" customWidth="1"/>
    <col min="4106" max="4106" width="11" style="164" customWidth="1"/>
    <col min="4107" max="4111" width="0" style="164" hidden="1" customWidth="1"/>
    <col min="4112" max="4112" width="14.33203125" style="164" customWidth="1"/>
    <col min="4113" max="4115" width="0" style="164" hidden="1" customWidth="1"/>
    <col min="4116" max="4116" width="14.33203125" style="164" customWidth="1"/>
    <col min="4117" max="4119" width="0" style="164" hidden="1" customWidth="1"/>
    <col min="4120" max="4120" width="14.33203125" style="164" customWidth="1"/>
    <col min="4121" max="4123" width="0" style="164" hidden="1" customWidth="1"/>
    <col min="4124" max="4125" width="14.33203125" style="164" customWidth="1"/>
    <col min="4126" max="4126" width="14.1640625" style="164" customWidth="1"/>
    <col min="4127" max="4127" width="10.5" style="164" customWidth="1"/>
    <col min="4128" max="4128" width="10.1640625" style="164" customWidth="1"/>
    <col min="4129" max="4129" width="11.6640625" style="164" customWidth="1"/>
    <col min="4130" max="4130" width="9.83203125" style="164" customWidth="1"/>
    <col min="4131" max="4131" width="10.1640625" style="164" customWidth="1"/>
    <col min="4132" max="4132" width="9" style="164" customWidth="1"/>
    <col min="4133" max="4133" width="9.83203125" style="164" customWidth="1"/>
    <col min="4134" max="4134" width="9" style="164" customWidth="1"/>
    <col min="4135" max="4323" width="9.33203125" style="164"/>
    <col min="4324" max="4324" width="13.5" style="164" customWidth="1"/>
    <col min="4325" max="4325" width="12.83203125" style="164" customWidth="1"/>
    <col min="4326" max="4326" width="11.1640625" style="164" customWidth="1"/>
    <col min="4327" max="4327" width="10.6640625" style="164" customWidth="1"/>
    <col min="4328" max="4328" width="8.5" style="164" customWidth="1"/>
    <col min="4329" max="4338" width="0" style="164" hidden="1" customWidth="1"/>
    <col min="4339" max="4339" width="12.5" style="164" customWidth="1"/>
    <col min="4340" max="4340" width="13.6640625" style="164" customWidth="1"/>
    <col min="4341" max="4344" width="0" style="164" hidden="1" customWidth="1"/>
    <col min="4345" max="4345" width="13.6640625" style="164" customWidth="1"/>
    <col min="4346" max="4346" width="12.5" style="164" customWidth="1"/>
    <col min="4347" max="4347" width="15.5" style="164" customWidth="1"/>
    <col min="4348" max="4348" width="13.6640625" style="164" customWidth="1"/>
    <col min="4349" max="4349" width="10.83203125" style="164" customWidth="1"/>
    <col min="4350" max="4350" width="10.33203125" style="164" customWidth="1"/>
    <col min="4351" max="4352" width="9.83203125" style="164" customWidth="1"/>
    <col min="4353" max="4353" width="10.83203125" style="164" customWidth="1"/>
    <col min="4354" max="4354" width="9.33203125" style="164" customWidth="1"/>
    <col min="4355" max="4357" width="9.83203125" style="164" customWidth="1"/>
    <col min="4358" max="4358" width="14.5" style="164" customWidth="1"/>
    <col min="4359" max="4359" width="18.1640625" style="164" customWidth="1"/>
    <col min="4360" max="4360" width="13.1640625" style="164" customWidth="1"/>
    <col min="4361" max="4361" width="13" style="164" customWidth="1"/>
    <col min="4362" max="4362" width="11" style="164" customWidth="1"/>
    <col min="4363" max="4367" width="0" style="164" hidden="1" customWidth="1"/>
    <col min="4368" max="4368" width="14.33203125" style="164" customWidth="1"/>
    <col min="4369" max="4371" width="0" style="164" hidden="1" customWidth="1"/>
    <col min="4372" max="4372" width="14.33203125" style="164" customWidth="1"/>
    <col min="4373" max="4375" width="0" style="164" hidden="1" customWidth="1"/>
    <col min="4376" max="4376" width="14.33203125" style="164" customWidth="1"/>
    <col min="4377" max="4379" width="0" style="164" hidden="1" customWidth="1"/>
    <col min="4380" max="4381" width="14.33203125" style="164" customWidth="1"/>
    <col min="4382" max="4382" width="14.1640625" style="164" customWidth="1"/>
    <col min="4383" max="4383" width="10.5" style="164" customWidth="1"/>
    <col min="4384" max="4384" width="10.1640625" style="164" customWidth="1"/>
    <col min="4385" max="4385" width="11.6640625" style="164" customWidth="1"/>
    <col min="4386" max="4386" width="9.83203125" style="164" customWidth="1"/>
    <col min="4387" max="4387" width="10.1640625" style="164" customWidth="1"/>
    <col min="4388" max="4388" width="9" style="164" customWidth="1"/>
    <col min="4389" max="4389" width="9.83203125" style="164" customWidth="1"/>
    <col min="4390" max="4390" width="9" style="164" customWidth="1"/>
    <col min="4391" max="4579" width="9.33203125" style="164"/>
    <col min="4580" max="4580" width="13.5" style="164" customWidth="1"/>
    <col min="4581" max="4581" width="12.83203125" style="164" customWidth="1"/>
    <col min="4582" max="4582" width="11.1640625" style="164" customWidth="1"/>
    <col min="4583" max="4583" width="10.6640625" style="164" customWidth="1"/>
    <col min="4584" max="4584" width="8.5" style="164" customWidth="1"/>
    <col min="4585" max="4594" width="0" style="164" hidden="1" customWidth="1"/>
    <col min="4595" max="4595" width="12.5" style="164" customWidth="1"/>
    <col min="4596" max="4596" width="13.6640625" style="164" customWidth="1"/>
    <col min="4597" max="4600" width="0" style="164" hidden="1" customWidth="1"/>
    <col min="4601" max="4601" width="13.6640625" style="164" customWidth="1"/>
    <col min="4602" max="4602" width="12.5" style="164" customWidth="1"/>
    <col min="4603" max="4603" width="15.5" style="164" customWidth="1"/>
    <col min="4604" max="4604" width="13.6640625" style="164" customWidth="1"/>
    <col min="4605" max="4605" width="10.83203125" style="164" customWidth="1"/>
    <col min="4606" max="4606" width="10.33203125" style="164" customWidth="1"/>
    <col min="4607" max="4608" width="9.83203125" style="164" customWidth="1"/>
    <col min="4609" max="4609" width="10.83203125" style="164" customWidth="1"/>
    <col min="4610" max="4610" width="9.33203125" style="164" customWidth="1"/>
    <col min="4611" max="4613" width="9.83203125" style="164" customWidth="1"/>
    <col min="4614" max="4614" width="14.5" style="164" customWidth="1"/>
    <col min="4615" max="4615" width="18.1640625" style="164" customWidth="1"/>
    <col min="4616" max="4616" width="13.1640625" style="164" customWidth="1"/>
    <col min="4617" max="4617" width="13" style="164" customWidth="1"/>
    <col min="4618" max="4618" width="11" style="164" customWidth="1"/>
    <col min="4619" max="4623" width="0" style="164" hidden="1" customWidth="1"/>
    <col min="4624" max="4624" width="14.33203125" style="164" customWidth="1"/>
    <col min="4625" max="4627" width="0" style="164" hidden="1" customWidth="1"/>
    <col min="4628" max="4628" width="14.33203125" style="164" customWidth="1"/>
    <col min="4629" max="4631" width="0" style="164" hidden="1" customWidth="1"/>
    <col min="4632" max="4632" width="14.33203125" style="164" customWidth="1"/>
    <col min="4633" max="4635" width="0" style="164" hidden="1" customWidth="1"/>
    <col min="4636" max="4637" width="14.33203125" style="164" customWidth="1"/>
    <col min="4638" max="4638" width="14.1640625" style="164" customWidth="1"/>
    <col min="4639" max="4639" width="10.5" style="164" customWidth="1"/>
    <col min="4640" max="4640" width="10.1640625" style="164" customWidth="1"/>
    <col min="4641" max="4641" width="11.6640625" style="164" customWidth="1"/>
    <col min="4642" max="4642" width="9.83203125" style="164" customWidth="1"/>
    <col min="4643" max="4643" width="10.1640625" style="164" customWidth="1"/>
    <col min="4644" max="4644" width="9" style="164" customWidth="1"/>
    <col min="4645" max="4645" width="9.83203125" style="164" customWidth="1"/>
    <col min="4646" max="4646" width="9" style="164" customWidth="1"/>
    <col min="4647" max="4835" width="9.33203125" style="164"/>
    <col min="4836" max="4836" width="13.5" style="164" customWidth="1"/>
    <col min="4837" max="4837" width="12.83203125" style="164" customWidth="1"/>
    <col min="4838" max="4838" width="11.1640625" style="164" customWidth="1"/>
    <col min="4839" max="4839" width="10.6640625" style="164" customWidth="1"/>
    <col min="4840" max="4840" width="8.5" style="164" customWidth="1"/>
    <col min="4841" max="4850" width="0" style="164" hidden="1" customWidth="1"/>
    <col min="4851" max="4851" width="12.5" style="164" customWidth="1"/>
    <col min="4852" max="4852" width="13.6640625" style="164" customWidth="1"/>
    <col min="4853" max="4856" width="0" style="164" hidden="1" customWidth="1"/>
    <col min="4857" max="4857" width="13.6640625" style="164" customWidth="1"/>
    <col min="4858" max="4858" width="12.5" style="164" customWidth="1"/>
    <col min="4859" max="4859" width="15.5" style="164" customWidth="1"/>
    <col min="4860" max="4860" width="13.6640625" style="164" customWidth="1"/>
    <col min="4861" max="4861" width="10.83203125" style="164" customWidth="1"/>
    <col min="4862" max="4862" width="10.33203125" style="164" customWidth="1"/>
    <col min="4863" max="4864" width="9.83203125" style="164" customWidth="1"/>
    <col min="4865" max="4865" width="10.83203125" style="164" customWidth="1"/>
    <col min="4866" max="4866" width="9.33203125" style="164" customWidth="1"/>
    <col min="4867" max="4869" width="9.83203125" style="164" customWidth="1"/>
    <col min="4870" max="4870" width="14.5" style="164" customWidth="1"/>
    <col min="4871" max="4871" width="18.1640625" style="164" customWidth="1"/>
    <col min="4872" max="4872" width="13.1640625" style="164" customWidth="1"/>
    <col min="4873" max="4873" width="13" style="164" customWidth="1"/>
    <col min="4874" max="4874" width="11" style="164" customWidth="1"/>
    <col min="4875" max="4879" width="0" style="164" hidden="1" customWidth="1"/>
    <col min="4880" max="4880" width="14.33203125" style="164" customWidth="1"/>
    <col min="4881" max="4883" width="0" style="164" hidden="1" customWidth="1"/>
    <col min="4884" max="4884" width="14.33203125" style="164" customWidth="1"/>
    <col min="4885" max="4887" width="0" style="164" hidden="1" customWidth="1"/>
    <col min="4888" max="4888" width="14.33203125" style="164" customWidth="1"/>
    <col min="4889" max="4891" width="0" style="164" hidden="1" customWidth="1"/>
    <col min="4892" max="4893" width="14.33203125" style="164" customWidth="1"/>
    <col min="4894" max="4894" width="14.1640625" style="164" customWidth="1"/>
    <col min="4895" max="4895" width="10.5" style="164" customWidth="1"/>
    <col min="4896" max="4896" width="10.1640625" style="164" customWidth="1"/>
    <col min="4897" max="4897" width="11.6640625" style="164" customWidth="1"/>
    <col min="4898" max="4898" width="9.83203125" style="164" customWidth="1"/>
    <col min="4899" max="4899" width="10.1640625" style="164" customWidth="1"/>
    <col min="4900" max="4900" width="9" style="164" customWidth="1"/>
    <col min="4901" max="4901" width="9.83203125" style="164" customWidth="1"/>
    <col min="4902" max="4902" width="9" style="164" customWidth="1"/>
    <col min="4903" max="5091" width="9.33203125" style="164"/>
    <col min="5092" max="5092" width="13.5" style="164" customWidth="1"/>
    <col min="5093" max="5093" width="12.83203125" style="164" customWidth="1"/>
    <col min="5094" max="5094" width="11.1640625" style="164" customWidth="1"/>
    <col min="5095" max="5095" width="10.6640625" style="164" customWidth="1"/>
    <col min="5096" max="5096" width="8.5" style="164" customWidth="1"/>
    <col min="5097" max="5106" width="0" style="164" hidden="1" customWidth="1"/>
    <col min="5107" max="5107" width="12.5" style="164" customWidth="1"/>
    <col min="5108" max="5108" width="13.6640625" style="164" customWidth="1"/>
    <col min="5109" max="5112" width="0" style="164" hidden="1" customWidth="1"/>
    <col min="5113" max="5113" width="13.6640625" style="164" customWidth="1"/>
    <col min="5114" max="5114" width="12.5" style="164" customWidth="1"/>
    <col min="5115" max="5115" width="15.5" style="164" customWidth="1"/>
    <col min="5116" max="5116" width="13.6640625" style="164" customWidth="1"/>
    <col min="5117" max="5117" width="10.83203125" style="164" customWidth="1"/>
    <col min="5118" max="5118" width="10.33203125" style="164" customWidth="1"/>
    <col min="5119" max="5120" width="9.83203125" style="164" customWidth="1"/>
    <col min="5121" max="5121" width="10.83203125" style="164" customWidth="1"/>
    <col min="5122" max="5122" width="9.33203125" style="164" customWidth="1"/>
    <col min="5123" max="5125" width="9.83203125" style="164" customWidth="1"/>
    <col min="5126" max="5126" width="14.5" style="164" customWidth="1"/>
    <col min="5127" max="5127" width="18.1640625" style="164" customWidth="1"/>
    <col min="5128" max="5128" width="13.1640625" style="164" customWidth="1"/>
    <col min="5129" max="5129" width="13" style="164" customWidth="1"/>
    <col min="5130" max="5130" width="11" style="164" customWidth="1"/>
    <col min="5131" max="5135" width="0" style="164" hidden="1" customWidth="1"/>
    <col min="5136" max="5136" width="14.33203125" style="164" customWidth="1"/>
    <col min="5137" max="5139" width="0" style="164" hidden="1" customWidth="1"/>
    <col min="5140" max="5140" width="14.33203125" style="164" customWidth="1"/>
    <col min="5141" max="5143" width="0" style="164" hidden="1" customWidth="1"/>
    <col min="5144" max="5144" width="14.33203125" style="164" customWidth="1"/>
    <col min="5145" max="5147" width="0" style="164" hidden="1" customWidth="1"/>
    <col min="5148" max="5149" width="14.33203125" style="164" customWidth="1"/>
    <col min="5150" max="5150" width="14.1640625" style="164" customWidth="1"/>
    <col min="5151" max="5151" width="10.5" style="164" customWidth="1"/>
    <col min="5152" max="5152" width="10.1640625" style="164" customWidth="1"/>
    <col min="5153" max="5153" width="11.6640625" style="164" customWidth="1"/>
    <col min="5154" max="5154" width="9.83203125" style="164" customWidth="1"/>
    <col min="5155" max="5155" width="10.1640625" style="164" customWidth="1"/>
    <col min="5156" max="5156" width="9" style="164" customWidth="1"/>
    <col min="5157" max="5157" width="9.83203125" style="164" customWidth="1"/>
    <col min="5158" max="5158" width="9" style="164" customWidth="1"/>
    <col min="5159" max="5347" width="9.33203125" style="164"/>
    <col min="5348" max="5348" width="13.5" style="164" customWidth="1"/>
    <col min="5349" max="5349" width="12.83203125" style="164" customWidth="1"/>
    <col min="5350" max="5350" width="11.1640625" style="164" customWidth="1"/>
    <col min="5351" max="5351" width="10.6640625" style="164" customWidth="1"/>
    <col min="5352" max="5352" width="8.5" style="164" customWidth="1"/>
    <col min="5353" max="5362" width="0" style="164" hidden="1" customWidth="1"/>
    <col min="5363" max="5363" width="12.5" style="164" customWidth="1"/>
    <col min="5364" max="5364" width="13.6640625" style="164" customWidth="1"/>
    <col min="5365" max="5368" width="0" style="164" hidden="1" customWidth="1"/>
    <col min="5369" max="5369" width="13.6640625" style="164" customWidth="1"/>
    <col min="5370" max="5370" width="12.5" style="164" customWidth="1"/>
    <col min="5371" max="5371" width="15.5" style="164" customWidth="1"/>
    <col min="5372" max="5372" width="13.6640625" style="164" customWidth="1"/>
    <col min="5373" max="5373" width="10.83203125" style="164" customWidth="1"/>
    <col min="5374" max="5374" width="10.33203125" style="164" customWidth="1"/>
    <col min="5375" max="5376" width="9.83203125" style="164" customWidth="1"/>
    <col min="5377" max="5377" width="10.83203125" style="164" customWidth="1"/>
    <col min="5378" max="5378" width="9.33203125" style="164" customWidth="1"/>
    <col min="5379" max="5381" width="9.83203125" style="164" customWidth="1"/>
    <col min="5382" max="5382" width="14.5" style="164" customWidth="1"/>
    <col min="5383" max="5383" width="18.1640625" style="164" customWidth="1"/>
    <col min="5384" max="5384" width="13.1640625" style="164" customWidth="1"/>
    <col min="5385" max="5385" width="13" style="164" customWidth="1"/>
    <col min="5386" max="5386" width="11" style="164" customWidth="1"/>
    <col min="5387" max="5391" width="0" style="164" hidden="1" customWidth="1"/>
    <col min="5392" max="5392" width="14.33203125" style="164" customWidth="1"/>
    <col min="5393" max="5395" width="0" style="164" hidden="1" customWidth="1"/>
    <col min="5396" max="5396" width="14.33203125" style="164" customWidth="1"/>
    <col min="5397" max="5399" width="0" style="164" hidden="1" customWidth="1"/>
    <col min="5400" max="5400" width="14.33203125" style="164" customWidth="1"/>
    <col min="5401" max="5403" width="0" style="164" hidden="1" customWidth="1"/>
    <col min="5404" max="5405" width="14.33203125" style="164" customWidth="1"/>
    <col min="5406" max="5406" width="14.1640625" style="164" customWidth="1"/>
    <col min="5407" max="5407" width="10.5" style="164" customWidth="1"/>
    <col min="5408" max="5408" width="10.1640625" style="164" customWidth="1"/>
    <col min="5409" max="5409" width="11.6640625" style="164" customWidth="1"/>
    <col min="5410" max="5410" width="9.83203125" style="164" customWidth="1"/>
    <col min="5411" max="5411" width="10.1640625" style="164" customWidth="1"/>
    <col min="5412" max="5412" width="9" style="164" customWidth="1"/>
    <col min="5413" max="5413" width="9.83203125" style="164" customWidth="1"/>
    <col min="5414" max="5414" width="9" style="164" customWidth="1"/>
    <col min="5415" max="5603" width="9.33203125" style="164"/>
    <col min="5604" max="5604" width="13.5" style="164" customWidth="1"/>
    <col min="5605" max="5605" width="12.83203125" style="164" customWidth="1"/>
    <col min="5606" max="5606" width="11.1640625" style="164" customWidth="1"/>
    <col min="5607" max="5607" width="10.6640625" style="164" customWidth="1"/>
    <col min="5608" max="5608" width="8.5" style="164" customWidth="1"/>
    <col min="5609" max="5618" width="0" style="164" hidden="1" customWidth="1"/>
    <col min="5619" max="5619" width="12.5" style="164" customWidth="1"/>
    <col min="5620" max="5620" width="13.6640625" style="164" customWidth="1"/>
    <col min="5621" max="5624" width="0" style="164" hidden="1" customWidth="1"/>
    <col min="5625" max="5625" width="13.6640625" style="164" customWidth="1"/>
    <col min="5626" max="5626" width="12.5" style="164" customWidth="1"/>
    <col min="5627" max="5627" width="15.5" style="164" customWidth="1"/>
    <col min="5628" max="5628" width="13.6640625" style="164" customWidth="1"/>
    <col min="5629" max="5629" width="10.83203125" style="164" customWidth="1"/>
    <col min="5630" max="5630" width="10.33203125" style="164" customWidth="1"/>
    <col min="5631" max="5632" width="9.83203125" style="164" customWidth="1"/>
    <col min="5633" max="5633" width="10.83203125" style="164" customWidth="1"/>
    <col min="5634" max="5634" width="9.33203125" style="164" customWidth="1"/>
    <col min="5635" max="5637" width="9.83203125" style="164" customWidth="1"/>
    <col min="5638" max="5638" width="14.5" style="164" customWidth="1"/>
    <col min="5639" max="5639" width="18.1640625" style="164" customWidth="1"/>
    <col min="5640" max="5640" width="13.1640625" style="164" customWidth="1"/>
    <col min="5641" max="5641" width="13" style="164" customWidth="1"/>
    <col min="5642" max="5642" width="11" style="164" customWidth="1"/>
    <col min="5643" max="5647" width="0" style="164" hidden="1" customWidth="1"/>
    <col min="5648" max="5648" width="14.33203125" style="164" customWidth="1"/>
    <col min="5649" max="5651" width="0" style="164" hidden="1" customWidth="1"/>
    <col min="5652" max="5652" width="14.33203125" style="164" customWidth="1"/>
    <col min="5653" max="5655" width="0" style="164" hidden="1" customWidth="1"/>
    <col min="5656" max="5656" width="14.33203125" style="164" customWidth="1"/>
    <col min="5657" max="5659" width="0" style="164" hidden="1" customWidth="1"/>
    <col min="5660" max="5661" width="14.33203125" style="164" customWidth="1"/>
    <col min="5662" max="5662" width="14.1640625" style="164" customWidth="1"/>
    <col min="5663" max="5663" width="10.5" style="164" customWidth="1"/>
    <col min="5664" max="5664" width="10.1640625" style="164" customWidth="1"/>
    <col min="5665" max="5665" width="11.6640625" style="164" customWidth="1"/>
    <col min="5666" max="5666" width="9.83203125" style="164" customWidth="1"/>
    <col min="5667" max="5667" width="10.1640625" style="164" customWidth="1"/>
    <col min="5668" max="5668" width="9" style="164" customWidth="1"/>
    <col min="5669" max="5669" width="9.83203125" style="164" customWidth="1"/>
    <col min="5670" max="5670" width="9" style="164" customWidth="1"/>
    <col min="5671" max="5859" width="9.33203125" style="164"/>
    <col min="5860" max="5860" width="13.5" style="164" customWidth="1"/>
    <col min="5861" max="5861" width="12.83203125" style="164" customWidth="1"/>
    <col min="5862" max="5862" width="11.1640625" style="164" customWidth="1"/>
    <col min="5863" max="5863" width="10.6640625" style="164" customWidth="1"/>
    <col min="5864" max="5864" width="8.5" style="164" customWidth="1"/>
    <col min="5865" max="5874" width="0" style="164" hidden="1" customWidth="1"/>
    <col min="5875" max="5875" width="12.5" style="164" customWidth="1"/>
    <col min="5876" max="5876" width="13.6640625" style="164" customWidth="1"/>
    <col min="5877" max="5880" width="0" style="164" hidden="1" customWidth="1"/>
    <col min="5881" max="5881" width="13.6640625" style="164" customWidth="1"/>
    <col min="5882" max="5882" width="12.5" style="164" customWidth="1"/>
    <col min="5883" max="5883" width="15.5" style="164" customWidth="1"/>
    <col min="5884" max="5884" width="13.6640625" style="164" customWidth="1"/>
    <col min="5885" max="5885" width="10.83203125" style="164" customWidth="1"/>
    <col min="5886" max="5886" width="10.33203125" style="164" customWidth="1"/>
    <col min="5887" max="5888" width="9.83203125" style="164" customWidth="1"/>
    <col min="5889" max="5889" width="10.83203125" style="164" customWidth="1"/>
    <col min="5890" max="5890" width="9.33203125" style="164" customWidth="1"/>
    <col min="5891" max="5893" width="9.83203125" style="164" customWidth="1"/>
    <col min="5894" max="5894" width="14.5" style="164" customWidth="1"/>
    <col min="5895" max="5895" width="18.1640625" style="164" customWidth="1"/>
    <col min="5896" max="5896" width="13.1640625" style="164" customWidth="1"/>
    <col min="5897" max="5897" width="13" style="164" customWidth="1"/>
    <col min="5898" max="5898" width="11" style="164" customWidth="1"/>
    <col min="5899" max="5903" width="0" style="164" hidden="1" customWidth="1"/>
    <col min="5904" max="5904" width="14.33203125" style="164" customWidth="1"/>
    <col min="5905" max="5907" width="0" style="164" hidden="1" customWidth="1"/>
    <col min="5908" max="5908" width="14.33203125" style="164" customWidth="1"/>
    <col min="5909" max="5911" width="0" style="164" hidden="1" customWidth="1"/>
    <col min="5912" max="5912" width="14.33203125" style="164" customWidth="1"/>
    <col min="5913" max="5915" width="0" style="164" hidden="1" customWidth="1"/>
    <col min="5916" max="5917" width="14.33203125" style="164" customWidth="1"/>
    <col min="5918" max="5918" width="14.1640625" style="164" customWidth="1"/>
    <col min="5919" max="5919" width="10.5" style="164" customWidth="1"/>
    <col min="5920" max="5920" width="10.1640625" style="164" customWidth="1"/>
    <col min="5921" max="5921" width="11.6640625" style="164" customWidth="1"/>
    <col min="5922" max="5922" width="9.83203125" style="164" customWidth="1"/>
    <col min="5923" max="5923" width="10.1640625" style="164" customWidth="1"/>
    <col min="5924" max="5924" width="9" style="164" customWidth="1"/>
    <col min="5925" max="5925" width="9.83203125" style="164" customWidth="1"/>
    <col min="5926" max="5926" width="9" style="164" customWidth="1"/>
    <col min="5927" max="6115" width="9.33203125" style="164"/>
    <col min="6116" max="6116" width="13.5" style="164" customWidth="1"/>
    <col min="6117" max="6117" width="12.83203125" style="164" customWidth="1"/>
    <col min="6118" max="6118" width="11.1640625" style="164" customWidth="1"/>
    <col min="6119" max="6119" width="10.6640625" style="164" customWidth="1"/>
    <col min="6120" max="6120" width="8.5" style="164" customWidth="1"/>
    <col min="6121" max="6130" width="0" style="164" hidden="1" customWidth="1"/>
    <col min="6131" max="6131" width="12.5" style="164" customWidth="1"/>
    <col min="6132" max="6132" width="13.6640625" style="164" customWidth="1"/>
    <col min="6133" max="6136" width="0" style="164" hidden="1" customWidth="1"/>
    <col min="6137" max="6137" width="13.6640625" style="164" customWidth="1"/>
    <col min="6138" max="6138" width="12.5" style="164" customWidth="1"/>
    <col min="6139" max="6139" width="15.5" style="164" customWidth="1"/>
    <col min="6140" max="6140" width="13.6640625" style="164" customWidth="1"/>
    <col min="6141" max="6141" width="10.83203125" style="164" customWidth="1"/>
    <col min="6142" max="6142" width="10.33203125" style="164" customWidth="1"/>
    <col min="6143" max="6144" width="9.83203125" style="164" customWidth="1"/>
    <col min="6145" max="6145" width="10.83203125" style="164" customWidth="1"/>
    <col min="6146" max="6146" width="9.33203125" style="164" customWidth="1"/>
    <col min="6147" max="6149" width="9.83203125" style="164" customWidth="1"/>
    <col min="6150" max="6150" width="14.5" style="164" customWidth="1"/>
    <col min="6151" max="6151" width="18.1640625" style="164" customWidth="1"/>
    <col min="6152" max="6152" width="13.1640625" style="164" customWidth="1"/>
    <col min="6153" max="6153" width="13" style="164" customWidth="1"/>
    <col min="6154" max="6154" width="11" style="164" customWidth="1"/>
    <col min="6155" max="6159" width="0" style="164" hidden="1" customWidth="1"/>
    <col min="6160" max="6160" width="14.33203125" style="164" customWidth="1"/>
    <col min="6161" max="6163" width="0" style="164" hidden="1" customWidth="1"/>
    <col min="6164" max="6164" width="14.33203125" style="164" customWidth="1"/>
    <col min="6165" max="6167" width="0" style="164" hidden="1" customWidth="1"/>
    <col min="6168" max="6168" width="14.33203125" style="164" customWidth="1"/>
    <col min="6169" max="6171" width="0" style="164" hidden="1" customWidth="1"/>
    <col min="6172" max="6173" width="14.33203125" style="164" customWidth="1"/>
    <col min="6174" max="6174" width="14.1640625" style="164" customWidth="1"/>
    <col min="6175" max="6175" width="10.5" style="164" customWidth="1"/>
    <col min="6176" max="6176" width="10.1640625" style="164" customWidth="1"/>
    <col min="6177" max="6177" width="11.6640625" style="164" customWidth="1"/>
    <col min="6178" max="6178" width="9.83203125" style="164" customWidth="1"/>
    <col min="6179" max="6179" width="10.1640625" style="164" customWidth="1"/>
    <col min="6180" max="6180" width="9" style="164" customWidth="1"/>
    <col min="6181" max="6181" width="9.83203125" style="164" customWidth="1"/>
    <col min="6182" max="6182" width="9" style="164" customWidth="1"/>
    <col min="6183" max="6371" width="9.33203125" style="164"/>
    <col min="6372" max="6372" width="13.5" style="164" customWidth="1"/>
    <col min="6373" max="6373" width="12.83203125" style="164" customWidth="1"/>
    <col min="6374" max="6374" width="11.1640625" style="164" customWidth="1"/>
    <col min="6375" max="6375" width="10.6640625" style="164" customWidth="1"/>
    <col min="6376" max="6376" width="8.5" style="164" customWidth="1"/>
    <col min="6377" max="6386" width="0" style="164" hidden="1" customWidth="1"/>
    <col min="6387" max="6387" width="12.5" style="164" customWidth="1"/>
    <col min="6388" max="6388" width="13.6640625" style="164" customWidth="1"/>
    <col min="6389" max="6392" width="0" style="164" hidden="1" customWidth="1"/>
    <col min="6393" max="6393" width="13.6640625" style="164" customWidth="1"/>
    <col min="6394" max="6394" width="12.5" style="164" customWidth="1"/>
    <col min="6395" max="6395" width="15.5" style="164" customWidth="1"/>
    <col min="6396" max="6396" width="13.6640625" style="164" customWidth="1"/>
    <col min="6397" max="6397" width="10.83203125" style="164" customWidth="1"/>
    <col min="6398" max="6398" width="10.33203125" style="164" customWidth="1"/>
    <col min="6399" max="6400" width="9.83203125" style="164" customWidth="1"/>
    <col min="6401" max="6401" width="10.83203125" style="164" customWidth="1"/>
    <col min="6402" max="6402" width="9.33203125" style="164" customWidth="1"/>
    <col min="6403" max="6405" width="9.83203125" style="164" customWidth="1"/>
    <col min="6406" max="6406" width="14.5" style="164" customWidth="1"/>
    <col min="6407" max="6407" width="18.1640625" style="164" customWidth="1"/>
    <col min="6408" max="6408" width="13.1640625" style="164" customWidth="1"/>
    <col min="6409" max="6409" width="13" style="164" customWidth="1"/>
    <col min="6410" max="6410" width="11" style="164" customWidth="1"/>
    <col min="6411" max="6415" width="0" style="164" hidden="1" customWidth="1"/>
    <col min="6416" max="6416" width="14.33203125" style="164" customWidth="1"/>
    <col min="6417" max="6419" width="0" style="164" hidden="1" customWidth="1"/>
    <col min="6420" max="6420" width="14.33203125" style="164" customWidth="1"/>
    <col min="6421" max="6423" width="0" style="164" hidden="1" customWidth="1"/>
    <col min="6424" max="6424" width="14.33203125" style="164" customWidth="1"/>
    <col min="6425" max="6427" width="0" style="164" hidden="1" customWidth="1"/>
    <col min="6428" max="6429" width="14.33203125" style="164" customWidth="1"/>
    <col min="6430" max="6430" width="14.1640625" style="164" customWidth="1"/>
    <col min="6431" max="6431" width="10.5" style="164" customWidth="1"/>
    <col min="6432" max="6432" width="10.1640625" style="164" customWidth="1"/>
    <col min="6433" max="6433" width="11.6640625" style="164" customWidth="1"/>
    <col min="6434" max="6434" width="9.83203125" style="164" customWidth="1"/>
    <col min="6435" max="6435" width="10.1640625" style="164" customWidth="1"/>
    <col min="6436" max="6436" width="9" style="164" customWidth="1"/>
    <col min="6437" max="6437" width="9.83203125" style="164" customWidth="1"/>
    <col min="6438" max="6438" width="9" style="164" customWidth="1"/>
    <col min="6439" max="6627" width="9.33203125" style="164"/>
    <col min="6628" max="6628" width="13.5" style="164" customWidth="1"/>
    <col min="6629" max="6629" width="12.83203125" style="164" customWidth="1"/>
    <col min="6630" max="6630" width="11.1640625" style="164" customWidth="1"/>
    <col min="6631" max="6631" width="10.6640625" style="164" customWidth="1"/>
    <col min="6632" max="6632" width="8.5" style="164" customWidth="1"/>
    <col min="6633" max="6642" width="0" style="164" hidden="1" customWidth="1"/>
    <col min="6643" max="6643" width="12.5" style="164" customWidth="1"/>
    <col min="6644" max="6644" width="13.6640625" style="164" customWidth="1"/>
    <col min="6645" max="6648" width="0" style="164" hidden="1" customWidth="1"/>
    <col min="6649" max="6649" width="13.6640625" style="164" customWidth="1"/>
    <col min="6650" max="6650" width="12.5" style="164" customWidth="1"/>
    <col min="6651" max="6651" width="15.5" style="164" customWidth="1"/>
    <col min="6652" max="6652" width="13.6640625" style="164" customWidth="1"/>
    <col min="6653" max="6653" width="10.83203125" style="164" customWidth="1"/>
    <col min="6654" max="6654" width="10.33203125" style="164" customWidth="1"/>
    <col min="6655" max="6656" width="9.83203125" style="164" customWidth="1"/>
    <col min="6657" max="6657" width="10.83203125" style="164" customWidth="1"/>
    <col min="6658" max="6658" width="9.33203125" style="164" customWidth="1"/>
    <col min="6659" max="6661" width="9.83203125" style="164" customWidth="1"/>
    <col min="6662" max="6662" width="14.5" style="164" customWidth="1"/>
    <col min="6663" max="6663" width="18.1640625" style="164" customWidth="1"/>
    <col min="6664" max="6664" width="13.1640625" style="164" customWidth="1"/>
    <col min="6665" max="6665" width="13" style="164" customWidth="1"/>
    <col min="6666" max="6666" width="11" style="164" customWidth="1"/>
    <col min="6667" max="6671" width="0" style="164" hidden="1" customWidth="1"/>
    <col min="6672" max="6672" width="14.33203125" style="164" customWidth="1"/>
    <col min="6673" max="6675" width="0" style="164" hidden="1" customWidth="1"/>
    <col min="6676" max="6676" width="14.33203125" style="164" customWidth="1"/>
    <col min="6677" max="6679" width="0" style="164" hidden="1" customWidth="1"/>
    <col min="6680" max="6680" width="14.33203125" style="164" customWidth="1"/>
    <col min="6681" max="6683" width="0" style="164" hidden="1" customWidth="1"/>
    <col min="6684" max="6685" width="14.33203125" style="164" customWidth="1"/>
    <col min="6686" max="6686" width="14.1640625" style="164" customWidth="1"/>
    <col min="6687" max="6687" width="10.5" style="164" customWidth="1"/>
    <col min="6688" max="6688" width="10.1640625" style="164" customWidth="1"/>
    <col min="6689" max="6689" width="11.6640625" style="164" customWidth="1"/>
    <col min="6690" max="6690" width="9.83203125" style="164" customWidth="1"/>
    <col min="6691" max="6691" width="10.1640625" style="164" customWidth="1"/>
    <col min="6692" max="6692" width="9" style="164" customWidth="1"/>
    <col min="6693" max="6693" width="9.83203125" style="164" customWidth="1"/>
    <col min="6694" max="6694" width="9" style="164" customWidth="1"/>
    <col min="6695" max="6883" width="9.33203125" style="164"/>
    <col min="6884" max="6884" width="13.5" style="164" customWidth="1"/>
    <col min="6885" max="6885" width="12.83203125" style="164" customWidth="1"/>
    <col min="6886" max="6886" width="11.1640625" style="164" customWidth="1"/>
    <col min="6887" max="6887" width="10.6640625" style="164" customWidth="1"/>
    <col min="6888" max="6888" width="8.5" style="164" customWidth="1"/>
    <col min="6889" max="6898" width="0" style="164" hidden="1" customWidth="1"/>
    <col min="6899" max="6899" width="12.5" style="164" customWidth="1"/>
    <col min="6900" max="6900" width="13.6640625" style="164" customWidth="1"/>
    <col min="6901" max="6904" width="0" style="164" hidden="1" customWidth="1"/>
    <col min="6905" max="6905" width="13.6640625" style="164" customWidth="1"/>
    <col min="6906" max="6906" width="12.5" style="164" customWidth="1"/>
    <col min="6907" max="6907" width="15.5" style="164" customWidth="1"/>
    <col min="6908" max="6908" width="13.6640625" style="164" customWidth="1"/>
    <col min="6909" max="6909" width="10.83203125" style="164" customWidth="1"/>
    <col min="6910" max="6910" width="10.33203125" style="164" customWidth="1"/>
    <col min="6911" max="6912" width="9.83203125" style="164" customWidth="1"/>
    <col min="6913" max="6913" width="10.83203125" style="164" customWidth="1"/>
    <col min="6914" max="6914" width="9.33203125" style="164" customWidth="1"/>
    <col min="6915" max="6917" width="9.83203125" style="164" customWidth="1"/>
    <col min="6918" max="6918" width="14.5" style="164" customWidth="1"/>
    <col min="6919" max="6919" width="18.1640625" style="164" customWidth="1"/>
    <col min="6920" max="6920" width="13.1640625" style="164" customWidth="1"/>
    <col min="6921" max="6921" width="13" style="164" customWidth="1"/>
    <col min="6922" max="6922" width="11" style="164" customWidth="1"/>
    <col min="6923" max="6927" width="0" style="164" hidden="1" customWidth="1"/>
    <col min="6928" max="6928" width="14.33203125" style="164" customWidth="1"/>
    <col min="6929" max="6931" width="0" style="164" hidden="1" customWidth="1"/>
    <col min="6932" max="6932" width="14.33203125" style="164" customWidth="1"/>
    <col min="6933" max="6935" width="0" style="164" hidden="1" customWidth="1"/>
    <col min="6936" max="6936" width="14.33203125" style="164" customWidth="1"/>
    <col min="6937" max="6939" width="0" style="164" hidden="1" customWidth="1"/>
    <col min="6940" max="6941" width="14.33203125" style="164" customWidth="1"/>
    <col min="6942" max="6942" width="14.1640625" style="164" customWidth="1"/>
    <col min="6943" max="6943" width="10.5" style="164" customWidth="1"/>
    <col min="6944" max="6944" width="10.1640625" style="164" customWidth="1"/>
    <col min="6945" max="6945" width="11.6640625" style="164" customWidth="1"/>
    <col min="6946" max="6946" width="9.83203125" style="164" customWidth="1"/>
    <col min="6947" max="6947" width="10.1640625" style="164" customWidth="1"/>
    <col min="6948" max="6948" width="9" style="164" customWidth="1"/>
    <col min="6949" max="6949" width="9.83203125" style="164" customWidth="1"/>
    <col min="6950" max="6950" width="9" style="164" customWidth="1"/>
    <col min="6951" max="7139" width="9.33203125" style="164"/>
    <col min="7140" max="7140" width="13.5" style="164" customWidth="1"/>
    <col min="7141" max="7141" width="12.83203125" style="164" customWidth="1"/>
    <col min="7142" max="7142" width="11.1640625" style="164" customWidth="1"/>
    <col min="7143" max="7143" width="10.6640625" style="164" customWidth="1"/>
    <col min="7144" max="7144" width="8.5" style="164" customWidth="1"/>
    <col min="7145" max="7154" width="0" style="164" hidden="1" customWidth="1"/>
    <col min="7155" max="7155" width="12.5" style="164" customWidth="1"/>
    <col min="7156" max="7156" width="13.6640625" style="164" customWidth="1"/>
    <col min="7157" max="7160" width="0" style="164" hidden="1" customWidth="1"/>
    <col min="7161" max="7161" width="13.6640625" style="164" customWidth="1"/>
    <col min="7162" max="7162" width="12.5" style="164" customWidth="1"/>
    <col min="7163" max="7163" width="15.5" style="164" customWidth="1"/>
    <col min="7164" max="7164" width="13.6640625" style="164" customWidth="1"/>
    <col min="7165" max="7165" width="10.83203125" style="164" customWidth="1"/>
    <col min="7166" max="7166" width="10.33203125" style="164" customWidth="1"/>
    <col min="7167" max="7168" width="9.83203125" style="164" customWidth="1"/>
    <col min="7169" max="7169" width="10.83203125" style="164" customWidth="1"/>
    <col min="7170" max="7170" width="9.33203125" style="164" customWidth="1"/>
    <col min="7171" max="7173" width="9.83203125" style="164" customWidth="1"/>
    <col min="7174" max="7174" width="14.5" style="164" customWidth="1"/>
    <col min="7175" max="7175" width="18.1640625" style="164" customWidth="1"/>
    <col min="7176" max="7176" width="13.1640625" style="164" customWidth="1"/>
    <col min="7177" max="7177" width="13" style="164" customWidth="1"/>
    <col min="7178" max="7178" width="11" style="164" customWidth="1"/>
    <col min="7179" max="7183" width="0" style="164" hidden="1" customWidth="1"/>
    <col min="7184" max="7184" width="14.33203125" style="164" customWidth="1"/>
    <col min="7185" max="7187" width="0" style="164" hidden="1" customWidth="1"/>
    <col min="7188" max="7188" width="14.33203125" style="164" customWidth="1"/>
    <col min="7189" max="7191" width="0" style="164" hidden="1" customWidth="1"/>
    <col min="7192" max="7192" width="14.33203125" style="164" customWidth="1"/>
    <col min="7193" max="7195" width="0" style="164" hidden="1" customWidth="1"/>
    <col min="7196" max="7197" width="14.33203125" style="164" customWidth="1"/>
    <col min="7198" max="7198" width="14.1640625" style="164" customWidth="1"/>
    <col min="7199" max="7199" width="10.5" style="164" customWidth="1"/>
    <col min="7200" max="7200" width="10.1640625" style="164" customWidth="1"/>
    <col min="7201" max="7201" width="11.6640625" style="164" customWidth="1"/>
    <col min="7202" max="7202" width="9.83203125" style="164" customWidth="1"/>
    <col min="7203" max="7203" width="10.1640625" style="164" customWidth="1"/>
    <col min="7204" max="7204" width="9" style="164" customWidth="1"/>
    <col min="7205" max="7205" width="9.83203125" style="164" customWidth="1"/>
    <col min="7206" max="7206" width="9" style="164" customWidth="1"/>
    <col min="7207" max="7395" width="9.33203125" style="164"/>
    <col min="7396" max="7396" width="13.5" style="164" customWidth="1"/>
    <col min="7397" max="7397" width="12.83203125" style="164" customWidth="1"/>
    <col min="7398" max="7398" width="11.1640625" style="164" customWidth="1"/>
    <col min="7399" max="7399" width="10.6640625" style="164" customWidth="1"/>
    <col min="7400" max="7400" width="8.5" style="164" customWidth="1"/>
    <col min="7401" max="7410" width="0" style="164" hidden="1" customWidth="1"/>
    <col min="7411" max="7411" width="12.5" style="164" customWidth="1"/>
    <col min="7412" max="7412" width="13.6640625" style="164" customWidth="1"/>
    <col min="7413" max="7416" width="0" style="164" hidden="1" customWidth="1"/>
    <col min="7417" max="7417" width="13.6640625" style="164" customWidth="1"/>
    <col min="7418" max="7418" width="12.5" style="164" customWidth="1"/>
    <col min="7419" max="7419" width="15.5" style="164" customWidth="1"/>
    <col min="7420" max="7420" width="13.6640625" style="164" customWidth="1"/>
    <col min="7421" max="7421" width="10.83203125" style="164" customWidth="1"/>
    <col min="7422" max="7422" width="10.33203125" style="164" customWidth="1"/>
    <col min="7423" max="7424" width="9.83203125" style="164" customWidth="1"/>
    <col min="7425" max="7425" width="10.83203125" style="164" customWidth="1"/>
    <col min="7426" max="7426" width="9.33203125" style="164" customWidth="1"/>
    <col min="7427" max="7429" width="9.83203125" style="164" customWidth="1"/>
    <col min="7430" max="7430" width="14.5" style="164" customWidth="1"/>
    <col min="7431" max="7431" width="18.1640625" style="164" customWidth="1"/>
    <col min="7432" max="7432" width="13.1640625" style="164" customWidth="1"/>
    <col min="7433" max="7433" width="13" style="164" customWidth="1"/>
    <col min="7434" max="7434" width="11" style="164" customWidth="1"/>
    <col min="7435" max="7439" width="0" style="164" hidden="1" customWidth="1"/>
    <col min="7440" max="7440" width="14.33203125" style="164" customWidth="1"/>
    <col min="7441" max="7443" width="0" style="164" hidden="1" customWidth="1"/>
    <col min="7444" max="7444" width="14.33203125" style="164" customWidth="1"/>
    <col min="7445" max="7447" width="0" style="164" hidden="1" customWidth="1"/>
    <col min="7448" max="7448" width="14.33203125" style="164" customWidth="1"/>
    <col min="7449" max="7451" width="0" style="164" hidden="1" customWidth="1"/>
    <col min="7452" max="7453" width="14.33203125" style="164" customWidth="1"/>
    <col min="7454" max="7454" width="14.1640625" style="164" customWidth="1"/>
    <col min="7455" max="7455" width="10.5" style="164" customWidth="1"/>
    <col min="7456" max="7456" width="10.1640625" style="164" customWidth="1"/>
    <col min="7457" max="7457" width="11.6640625" style="164" customWidth="1"/>
    <col min="7458" max="7458" width="9.83203125" style="164" customWidth="1"/>
    <col min="7459" max="7459" width="10.1640625" style="164" customWidth="1"/>
    <col min="7460" max="7460" width="9" style="164" customWidth="1"/>
    <col min="7461" max="7461" width="9.83203125" style="164" customWidth="1"/>
    <col min="7462" max="7462" width="9" style="164" customWidth="1"/>
    <col min="7463" max="7651" width="9.33203125" style="164"/>
    <col min="7652" max="7652" width="13.5" style="164" customWidth="1"/>
    <col min="7653" max="7653" width="12.83203125" style="164" customWidth="1"/>
    <col min="7654" max="7654" width="11.1640625" style="164" customWidth="1"/>
    <col min="7655" max="7655" width="10.6640625" style="164" customWidth="1"/>
    <col min="7656" max="7656" width="8.5" style="164" customWidth="1"/>
    <col min="7657" max="7666" width="0" style="164" hidden="1" customWidth="1"/>
    <col min="7667" max="7667" width="12.5" style="164" customWidth="1"/>
    <col min="7668" max="7668" width="13.6640625" style="164" customWidth="1"/>
    <col min="7669" max="7672" width="0" style="164" hidden="1" customWidth="1"/>
    <col min="7673" max="7673" width="13.6640625" style="164" customWidth="1"/>
    <col min="7674" max="7674" width="12.5" style="164" customWidth="1"/>
    <col min="7675" max="7675" width="15.5" style="164" customWidth="1"/>
    <col min="7676" max="7676" width="13.6640625" style="164" customWidth="1"/>
    <col min="7677" max="7677" width="10.83203125" style="164" customWidth="1"/>
    <col min="7678" max="7678" width="10.33203125" style="164" customWidth="1"/>
    <col min="7679" max="7680" width="9.83203125" style="164" customWidth="1"/>
    <col min="7681" max="7681" width="10.83203125" style="164" customWidth="1"/>
    <col min="7682" max="7682" width="9.33203125" style="164" customWidth="1"/>
    <col min="7683" max="7685" width="9.83203125" style="164" customWidth="1"/>
    <col min="7686" max="7686" width="14.5" style="164" customWidth="1"/>
    <col min="7687" max="7687" width="18.1640625" style="164" customWidth="1"/>
    <col min="7688" max="7688" width="13.1640625" style="164" customWidth="1"/>
    <col min="7689" max="7689" width="13" style="164" customWidth="1"/>
    <col min="7690" max="7690" width="11" style="164" customWidth="1"/>
    <col min="7691" max="7695" width="0" style="164" hidden="1" customWidth="1"/>
    <col min="7696" max="7696" width="14.33203125" style="164" customWidth="1"/>
    <col min="7697" max="7699" width="0" style="164" hidden="1" customWidth="1"/>
    <col min="7700" max="7700" width="14.33203125" style="164" customWidth="1"/>
    <col min="7701" max="7703" width="0" style="164" hidden="1" customWidth="1"/>
    <col min="7704" max="7704" width="14.33203125" style="164" customWidth="1"/>
    <col min="7705" max="7707" width="0" style="164" hidden="1" customWidth="1"/>
    <col min="7708" max="7709" width="14.33203125" style="164" customWidth="1"/>
    <col min="7710" max="7710" width="14.1640625" style="164" customWidth="1"/>
    <col min="7711" max="7711" width="10.5" style="164" customWidth="1"/>
    <col min="7712" max="7712" width="10.1640625" style="164" customWidth="1"/>
    <col min="7713" max="7713" width="11.6640625" style="164" customWidth="1"/>
    <col min="7714" max="7714" width="9.83203125" style="164" customWidth="1"/>
    <col min="7715" max="7715" width="10.1640625" style="164" customWidth="1"/>
    <col min="7716" max="7716" width="9" style="164" customWidth="1"/>
    <col min="7717" max="7717" width="9.83203125" style="164" customWidth="1"/>
    <col min="7718" max="7718" width="9" style="164" customWidth="1"/>
    <col min="7719" max="7907" width="9.33203125" style="164"/>
    <col min="7908" max="7908" width="13.5" style="164" customWidth="1"/>
    <col min="7909" max="7909" width="12.83203125" style="164" customWidth="1"/>
    <col min="7910" max="7910" width="11.1640625" style="164" customWidth="1"/>
    <col min="7911" max="7911" width="10.6640625" style="164" customWidth="1"/>
    <col min="7912" max="7912" width="8.5" style="164" customWidth="1"/>
    <col min="7913" max="7922" width="0" style="164" hidden="1" customWidth="1"/>
    <col min="7923" max="7923" width="12.5" style="164" customWidth="1"/>
    <col min="7924" max="7924" width="13.6640625" style="164" customWidth="1"/>
    <col min="7925" max="7928" width="0" style="164" hidden="1" customWidth="1"/>
    <col min="7929" max="7929" width="13.6640625" style="164" customWidth="1"/>
    <col min="7930" max="7930" width="12.5" style="164" customWidth="1"/>
    <col min="7931" max="7931" width="15.5" style="164" customWidth="1"/>
    <col min="7932" max="7932" width="13.6640625" style="164" customWidth="1"/>
    <col min="7933" max="7933" width="10.83203125" style="164" customWidth="1"/>
    <col min="7934" max="7934" width="10.33203125" style="164" customWidth="1"/>
    <col min="7935" max="7936" width="9.83203125" style="164" customWidth="1"/>
    <col min="7937" max="7937" width="10.83203125" style="164" customWidth="1"/>
    <col min="7938" max="7938" width="9.33203125" style="164" customWidth="1"/>
    <col min="7939" max="7941" width="9.83203125" style="164" customWidth="1"/>
    <col min="7942" max="7942" width="14.5" style="164" customWidth="1"/>
    <col min="7943" max="7943" width="18.1640625" style="164" customWidth="1"/>
    <col min="7944" max="7944" width="13.1640625" style="164" customWidth="1"/>
    <col min="7945" max="7945" width="13" style="164" customWidth="1"/>
    <col min="7946" max="7946" width="11" style="164" customWidth="1"/>
    <col min="7947" max="7951" width="0" style="164" hidden="1" customWidth="1"/>
    <col min="7952" max="7952" width="14.33203125" style="164" customWidth="1"/>
    <col min="7953" max="7955" width="0" style="164" hidden="1" customWidth="1"/>
    <col min="7956" max="7956" width="14.33203125" style="164" customWidth="1"/>
    <col min="7957" max="7959" width="0" style="164" hidden="1" customWidth="1"/>
    <col min="7960" max="7960" width="14.33203125" style="164" customWidth="1"/>
    <col min="7961" max="7963" width="0" style="164" hidden="1" customWidth="1"/>
    <col min="7964" max="7965" width="14.33203125" style="164" customWidth="1"/>
    <col min="7966" max="7966" width="14.1640625" style="164" customWidth="1"/>
    <col min="7967" max="7967" width="10.5" style="164" customWidth="1"/>
    <col min="7968" max="7968" width="10.1640625" style="164" customWidth="1"/>
    <col min="7969" max="7969" width="11.6640625" style="164" customWidth="1"/>
    <col min="7970" max="7970" width="9.83203125" style="164" customWidth="1"/>
    <col min="7971" max="7971" width="10.1640625" style="164" customWidth="1"/>
    <col min="7972" max="7972" width="9" style="164" customWidth="1"/>
    <col min="7973" max="7973" width="9.83203125" style="164" customWidth="1"/>
    <col min="7974" max="7974" width="9" style="164" customWidth="1"/>
    <col min="7975" max="8163" width="9.33203125" style="164"/>
    <col min="8164" max="8164" width="13.5" style="164" customWidth="1"/>
    <col min="8165" max="8165" width="12.83203125" style="164" customWidth="1"/>
    <col min="8166" max="8166" width="11.1640625" style="164" customWidth="1"/>
    <col min="8167" max="8167" width="10.6640625" style="164" customWidth="1"/>
    <col min="8168" max="8168" width="8.5" style="164" customWidth="1"/>
    <col min="8169" max="8178" width="0" style="164" hidden="1" customWidth="1"/>
    <col min="8179" max="8179" width="12.5" style="164" customWidth="1"/>
    <col min="8180" max="8180" width="13.6640625" style="164" customWidth="1"/>
    <col min="8181" max="8184" width="0" style="164" hidden="1" customWidth="1"/>
    <col min="8185" max="8185" width="13.6640625" style="164" customWidth="1"/>
    <col min="8186" max="8186" width="12.5" style="164" customWidth="1"/>
    <col min="8187" max="8187" width="15.5" style="164" customWidth="1"/>
    <col min="8188" max="8188" width="13.6640625" style="164" customWidth="1"/>
    <col min="8189" max="8189" width="10.83203125" style="164" customWidth="1"/>
    <col min="8190" max="8190" width="10.33203125" style="164" customWidth="1"/>
    <col min="8191" max="8192" width="9.83203125" style="164" customWidth="1"/>
    <col min="8193" max="8193" width="10.83203125" style="164" customWidth="1"/>
    <col min="8194" max="8194" width="9.33203125" style="164" customWidth="1"/>
    <col min="8195" max="8197" width="9.83203125" style="164" customWidth="1"/>
    <col min="8198" max="8198" width="14.5" style="164" customWidth="1"/>
    <col min="8199" max="8199" width="18.1640625" style="164" customWidth="1"/>
    <col min="8200" max="8200" width="13.1640625" style="164" customWidth="1"/>
    <col min="8201" max="8201" width="13" style="164" customWidth="1"/>
    <col min="8202" max="8202" width="11" style="164" customWidth="1"/>
    <col min="8203" max="8207" width="0" style="164" hidden="1" customWidth="1"/>
    <col min="8208" max="8208" width="14.33203125" style="164" customWidth="1"/>
    <col min="8209" max="8211" width="0" style="164" hidden="1" customWidth="1"/>
    <col min="8212" max="8212" width="14.33203125" style="164" customWidth="1"/>
    <col min="8213" max="8215" width="0" style="164" hidden="1" customWidth="1"/>
    <col min="8216" max="8216" width="14.33203125" style="164" customWidth="1"/>
    <col min="8217" max="8219" width="0" style="164" hidden="1" customWidth="1"/>
    <col min="8220" max="8221" width="14.33203125" style="164" customWidth="1"/>
    <col min="8222" max="8222" width="14.1640625" style="164" customWidth="1"/>
    <col min="8223" max="8223" width="10.5" style="164" customWidth="1"/>
    <col min="8224" max="8224" width="10.1640625" style="164" customWidth="1"/>
    <col min="8225" max="8225" width="11.6640625" style="164" customWidth="1"/>
    <col min="8226" max="8226" width="9.83203125" style="164" customWidth="1"/>
    <col min="8227" max="8227" width="10.1640625" style="164" customWidth="1"/>
    <col min="8228" max="8228" width="9" style="164" customWidth="1"/>
    <col min="8229" max="8229" width="9.83203125" style="164" customWidth="1"/>
    <col min="8230" max="8230" width="9" style="164" customWidth="1"/>
    <col min="8231" max="8419" width="9.33203125" style="164"/>
    <col min="8420" max="8420" width="13.5" style="164" customWidth="1"/>
    <col min="8421" max="8421" width="12.83203125" style="164" customWidth="1"/>
    <col min="8422" max="8422" width="11.1640625" style="164" customWidth="1"/>
    <col min="8423" max="8423" width="10.6640625" style="164" customWidth="1"/>
    <col min="8424" max="8424" width="8.5" style="164" customWidth="1"/>
    <col min="8425" max="8434" width="0" style="164" hidden="1" customWidth="1"/>
    <col min="8435" max="8435" width="12.5" style="164" customWidth="1"/>
    <col min="8436" max="8436" width="13.6640625" style="164" customWidth="1"/>
    <col min="8437" max="8440" width="0" style="164" hidden="1" customWidth="1"/>
    <col min="8441" max="8441" width="13.6640625" style="164" customWidth="1"/>
    <col min="8442" max="8442" width="12.5" style="164" customWidth="1"/>
    <col min="8443" max="8443" width="15.5" style="164" customWidth="1"/>
    <col min="8444" max="8444" width="13.6640625" style="164" customWidth="1"/>
    <col min="8445" max="8445" width="10.83203125" style="164" customWidth="1"/>
    <col min="8446" max="8446" width="10.33203125" style="164" customWidth="1"/>
    <col min="8447" max="8448" width="9.83203125" style="164" customWidth="1"/>
    <col min="8449" max="8449" width="10.83203125" style="164" customWidth="1"/>
    <col min="8450" max="8450" width="9.33203125" style="164" customWidth="1"/>
    <col min="8451" max="8453" width="9.83203125" style="164" customWidth="1"/>
    <col min="8454" max="8454" width="14.5" style="164" customWidth="1"/>
    <col min="8455" max="8455" width="18.1640625" style="164" customWidth="1"/>
    <col min="8456" max="8456" width="13.1640625" style="164" customWidth="1"/>
    <col min="8457" max="8457" width="13" style="164" customWidth="1"/>
    <col min="8458" max="8458" width="11" style="164" customWidth="1"/>
    <col min="8459" max="8463" width="0" style="164" hidden="1" customWidth="1"/>
    <col min="8464" max="8464" width="14.33203125" style="164" customWidth="1"/>
    <col min="8465" max="8467" width="0" style="164" hidden="1" customWidth="1"/>
    <col min="8468" max="8468" width="14.33203125" style="164" customWidth="1"/>
    <col min="8469" max="8471" width="0" style="164" hidden="1" customWidth="1"/>
    <col min="8472" max="8472" width="14.33203125" style="164" customWidth="1"/>
    <col min="8473" max="8475" width="0" style="164" hidden="1" customWidth="1"/>
    <col min="8476" max="8477" width="14.33203125" style="164" customWidth="1"/>
    <col min="8478" max="8478" width="14.1640625" style="164" customWidth="1"/>
    <col min="8479" max="8479" width="10.5" style="164" customWidth="1"/>
    <col min="8480" max="8480" width="10.1640625" style="164" customWidth="1"/>
    <col min="8481" max="8481" width="11.6640625" style="164" customWidth="1"/>
    <col min="8482" max="8482" width="9.83203125" style="164" customWidth="1"/>
    <col min="8483" max="8483" width="10.1640625" style="164" customWidth="1"/>
    <col min="8484" max="8484" width="9" style="164" customWidth="1"/>
    <col min="8485" max="8485" width="9.83203125" style="164" customWidth="1"/>
    <col min="8486" max="8486" width="9" style="164" customWidth="1"/>
    <col min="8487" max="8675" width="9.33203125" style="164"/>
    <col min="8676" max="8676" width="13.5" style="164" customWidth="1"/>
    <col min="8677" max="8677" width="12.83203125" style="164" customWidth="1"/>
    <col min="8678" max="8678" width="11.1640625" style="164" customWidth="1"/>
    <col min="8679" max="8679" width="10.6640625" style="164" customWidth="1"/>
    <col min="8680" max="8680" width="8.5" style="164" customWidth="1"/>
    <col min="8681" max="8690" width="0" style="164" hidden="1" customWidth="1"/>
    <col min="8691" max="8691" width="12.5" style="164" customWidth="1"/>
    <col min="8692" max="8692" width="13.6640625" style="164" customWidth="1"/>
    <col min="8693" max="8696" width="0" style="164" hidden="1" customWidth="1"/>
    <col min="8697" max="8697" width="13.6640625" style="164" customWidth="1"/>
    <col min="8698" max="8698" width="12.5" style="164" customWidth="1"/>
    <col min="8699" max="8699" width="15.5" style="164" customWidth="1"/>
    <col min="8700" max="8700" width="13.6640625" style="164" customWidth="1"/>
    <col min="8701" max="8701" width="10.83203125" style="164" customWidth="1"/>
    <col min="8702" max="8702" width="10.33203125" style="164" customWidth="1"/>
    <col min="8703" max="8704" width="9.83203125" style="164" customWidth="1"/>
    <col min="8705" max="8705" width="10.83203125" style="164" customWidth="1"/>
    <col min="8706" max="8706" width="9.33203125" style="164" customWidth="1"/>
    <col min="8707" max="8709" width="9.83203125" style="164" customWidth="1"/>
    <col min="8710" max="8710" width="14.5" style="164" customWidth="1"/>
    <col min="8711" max="8711" width="18.1640625" style="164" customWidth="1"/>
    <col min="8712" max="8712" width="13.1640625" style="164" customWidth="1"/>
    <col min="8713" max="8713" width="13" style="164" customWidth="1"/>
    <col min="8714" max="8714" width="11" style="164" customWidth="1"/>
    <col min="8715" max="8719" width="0" style="164" hidden="1" customWidth="1"/>
    <col min="8720" max="8720" width="14.33203125" style="164" customWidth="1"/>
    <col min="8721" max="8723" width="0" style="164" hidden="1" customWidth="1"/>
    <col min="8724" max="8724" width="14.33203125" style="164" customWidth="1"/>
    <col min="8725" max="8727" width="0" style="164" hidden="1" customWidth="1"/>
    <col min="8728" max="8728" width="14.33203125" style="164" customWidth="1"/>
    <col min="8729" max="8731" width="0" style="164" hidden="1" customWidth="1"/>
    <col min="8732" max="8733" width="14.33203125" style="164" customWidth="1"/>
    <col min="8734" max="8734" width="14.1640625" style="164" customWidth="1"/>
    <col min="8735" max="8735" width="10.5" style="164" customWidth="1"/>
    <col min="8736" max="8736" width="10.1640625" style="164" customWidth="1"/>
    <col min="8737" max="8737" width="11.6640625" style="164" customWidth="1"/>
    <col min="8738" max="8738" width="9.83203125" style="164" customWidth="1"/>
    <col min="8739" max="8739" width="10.1640625" style="164" customWidth="1"/>
    <col min="8740" max="8740" width="9" style="164" customWidth="1"/>
    <col min="8741" max="8741" width="9.83203125" style="164" customWidth="1"/>
    <col min="8742" max="8742" width="9" style="164" customWidth="1"/>
    <col min="8743" max="8931" width="9.33203125" style="164"/>
    <col min="8932" max="8932" width="13.5" style="164" customWidth="1"/>
    <col min="8933" max="8933" width="12.83203125" style="164" customWidth="1"/>
    <col min="8934" max="8934" width="11.1640625" style="164" customWidth="1"/>
    <col min="8935" max="8935" width="10.6640625" style="164" customWidth="1"/>
    <col min="8936" max="8936" width="8.5" style="164" customWidth="1"/>
    <col min="8937" max="8946" width="0" style="164" hidden="1" customWidth="1"/>
    <col min="8947" max="8947" width="12.5" style="164" customWidth="1"/>
    <col min="8948" max="8948" width="13.6640625" style="164" customWidth="1"/>
    <col min="8949" max="8952" width="0" style="164" hidden="1" customWidth="1"/>
    <col min="8953" max="8953" width="13.6640625" style="164" customWidth="1"/>
    <col min="8954" max="8954" width="12.5" style="164" customWidth="1"/>
    <col min="8955" max="8955" width="15.5" style="164" customWidth="1"/>
    <col min="8956" max="8956" width="13.6640625" style="164" customWidth="1"/>
    <col min="8957" max="8957" width="10.83203125" style="164" customWidth="1"/>
    <col min="8958" max="8958" width="10.33203125" style="164" customWidth="1"/>
    <col min="8959" max="8960" width="9.83203125" style="164" customWidth="1"/>
    <col min="8961" max="8961" width="10.83203125" style="164" customWidth="1"/>
    <col min="8962" max="8962" width="9.33203125" style="164" customWidth="1"/>
    <col min="8963" max="8965" width="9.83203125" style="164" customWidth="1"/>
    <col min="8966" max="8966" width="14.5" style="164" customWidth="1"/>
    <col min="8967" max="8967" width="18.1640625" style="164" customWidth="1"/>
    <col min="8968" max="8968" width="13.1640625" style="164" customWidth="1"/>
    <col min="8969" max="8969" width="13" style="164" customWidth="1"/>
    <col min="8970" max="8970" width="11" style="164" customWidth="1"/>
    <col min="8971" max="8975" width="0" style="164" hidden="1" customWidth="1"/>
    <col min="8976" max="8976" width="14.33203125" style="164" customWidth="1"/>
    <col min="8977" max="8979" width="0" style="164" hidden="1" customWidth="1"/>
    <col min="8980" max="8980" width="14.33203125" style="164" customWidth="1"/>
    <col min="8981" max="8983" width="0" style="164" hidden="1" customWidth="1"/>
    <col min="8984" max="8984" width="14.33203125" style="164" customWidth="1"/>
    <col min="8985" max="8987" width="0" style="164" hidden="1" customWidth="1"/>
    <col min="8988" max="8989" width="14.33203125" style="164" customWidth="1"/>
    <col min="8990" max="8990" width="14.1640625" style="164" customWidth="1"/>
    <col min="8991" max="8991" width="10.5" style="164" customWidth="1"/>
    <col min="8992" max="8992" width="10.1640625" style="164" customWidth="1"/>
    <col min="8993" max="8993" width="11.6640625" style="164" customWidth="1"/>
    <col min="8994" max="8994" width="9.83203125" style="164" customWidth="1"/>
    <col min="8995" max="8995" width="10.1640625" style="164" customWidth="1"/>
    <col min="8996" max="8996" width="9" style="164" customWidth="1"/>
    <col min="8997" max="8997" width="9.83203125" style="164" customWidth="1"/>
    <col min="8998" max="8998" width="9" style="164" customWidth="1"/>
    <col min="8999" max="9187" width="9.33203125" style="164"/>
    <col min="9188" max="9188" width="13.5" style="164" customWidth="1"/>
    <col min="9189" max="9189" width="12.83203125" style="164" customWidth="1"/>
    <col min="9190" max="9190" width="11.1640625" style="164" customWidth="1"/>
    <col min="9191" max="9191" width="10.6640625" style="164" customWidth="1"/>
    <col min="9192" max="9192" width="8.5" style="164" customWidth="1"/>
    <col min="9193" max="9202" width="0" style="164" hidden="1" customWidth="1"/>
    <col min="9203" max="9203" width="12.5" style="164" customWidth="1"/>
    <col min="9204" max="9204" width="13.6640625" style="164" customWidth="1"/>
    <col min="9205" max="9208" width="0" style="164" hidden="1" customWidth="1"/>
    <col min="9209" max="9209" width="13.6640625" style="164" customWidth="1"/>
    <col min="9210" max="9210" width="12.5" style="164" customWidth="1"/>
    <col min="9211" max="9211" width="15.5" style="164" customWidth="1"/>
    <col min="9212" max="9212" width="13.6640625" style="164" customWidth="1"/>
    <col min="9213" max="9213" width="10.83203125" style="164" customWidth="1"/>
    <col min="9214" max="9214" width="10.33203125" style="164" customWidth="1"/>
    <col min="9215" max="9216" width="9.83203125" style="164" customWidth="1"/>
    <col min="9217" max="9217" width="10.83203125" style="164" customWidth="1"/>
    <col min="9218" max="9218" width="9.33203125" style="164" customWidth="1"/>
    <col min="9219" max="9221" width="9.83203125" style="164" customWidth="1"/>
    <col min="9222" max="9222" width="14.5" style="164" customWidth="1"/>
    <col min="9223" max="9223" width="18.1640625" style="164" customWidth="1"/>
    <col min="9224" max="9224" width="13.1640625" style="164" customWidth="1"/>
    <col min="9225" max="9225" width="13" style="164" customWidth="1"/>
    <col min="9226" max="9226" width="11" style="164" customWidth="1"/>
    <col min="9227" max="9231" width="0" style="164" hidden="1" customWidth="1"/>
    <col min="9232" max="9232" width="14.33203125" style="164" customWidth="1"/>
    <col min="9233" max="9235" width="0" style="164" hidden="1" customWidth="1"/>
    <col min="9236" max="9236" width="14.33203125" style="164" customWidth="1"/>
    <col min="9237" max="9239" width="0" style="164" hidden="1" customWidth="1"/>
    <col min="9240" max="9240" width="14.33203125" style="164" customWidth="1"/>
    <col min="9241" max="9243" width="0" style="164" hidden="1" customWidth="1"/>
    <col min="9244" max="9245" width="14.33203125" style="164" customWidth="1"/>
    <col min="9246" max="9246" width="14.1640625" style="164" customWidth="1"/>
    <col min="9247" max="9247" width="10.5" style="164" customWidth="1"/>
    <col min="9248" max="9248" width="10.1640625" style="164" customWidth="1"/>
    <col min="9249" max="9249" width="11.6640625" style="164" customWidth="1"/>
    <col min="9250" max="9250" width="9.83203125" style="164" customWidth="1"/>
    <col min="9251" max="9251" width="10.1640625" style="164" customWidth="1"/>
    <col min="9252" max="9252" width="9" style="164" customWidth="1"/>
    <col min="9253" max="9253" width="9.83203125" style="164" customWidth="1"/>
    <col min="9254" max="9254" width="9" style="164" customWidth="1"/>
    <col min="9255" max="9443" width="9.33203125" style="164"/>
    <col min="9444" max="9444" width="13.5" style="164" customWidth="1"/>
    <col min="9445" max="9445" width="12.83203125" style="164" customWidth="1"/>
    <col min="9446" max="9446" width="11.1640625" style="164" customWidth="1"/>
    <col min="9447" max="9447" width="10.6640625" style="164" customWidth="1"/>
    <col min="9448" max="9448" width="8.5" style="164" customWidth="1"/>
    <col min="9449" max="9458" width="0" style="164" hidden="1" customWidth="1"/>
    <col min="9459" max="9459" width="12.5" style="164" customWidth="1"/>
    <col min="9460" max="9460" width="13.6640625" style="164" customWidth="1"/>
    <col min="9461" max="9464" width="0" style="164" hidden="1" customWidth="1"/>
    <col min="9465" max="9465" width="13.6640625" style="164" customWidth="1"/>
    <col min="9466" max="9466" width="12.5" style="164" customWidth="1"/>
    <col min="9467" max="9467" width="15.5" style="164" customWidth="1"/>
    <col min="9468" max="9468" width="13.6640625" style="164" customWidth="1"/>
    <col min="9469" max="9469" width="10.83203125" style="164" customWidth="1"/>
    <col min="9470" max="9470" width="10.33203125" style="164" customWidth="1"/>
    <col min="9471" max="9472" width="9.83203125" style="164" customWidth="1"/>
    <col min="9473" max="9473" width="10.83203125" style="164" customWidth="1"/>
    <col min="9474" max="9474" width="9.33203125" style="164" customWidth="1"/>
    <col min="9475" max="9477" width="9.83203125" style="164" customWidth="1"/>
    <col min="9478" max="9478" width="14.5" style="164" customWidth="1"/>
    <col min="9479" max="9479" width="18.1640625" style="164" customWidth="1"/>
    <col min="9480" max="9480" width="13.1640625" style="164" customWidth="1"/>
    <col min="9481" max="9481" width="13" style="164" customWidth="1"/>
    <col min="9482" max="9482" width="11" style="164" customWidth="1"/>
    <col min="9483" max="9487" width="0" style="164" hidden="1" customWidth="1"/>
    <col min="9488" max="9488" width="14.33203125" style="164" customWidth="1"/>
    <col min="9489" max="9491" width="0" style="164" hidden="1" customWidth="1"/>
    <col min="9492" max="9492" width="14.33203125" style="164" customWidth="1"/>
    <col min="9493" max="9495" width="0" style="164" hidden="1" customWidth="1"/>
    <col min="9496" max="9496" width="14.33203125" style="164" customWidth="1"/>
    <col min="9497" max="9499" width="0" style="164" hidden="1" customWidth="1"/>
    <col min="9500" max="9501" width="14.33203125" style="164" customWidth="1"/>
    <col min="9502" max="9502" width="14.1640625" style="164" customWidth="1"/>
    <col min="9503" max="9503" width="10.5" style="164" customWidth="1"/>
    <col min="9504" max="9504" width="10.1640625" style="164" customWidth="1"/>
    <col min="9505" max="9505" width="11.6640625" style="164" customWidth="1"/>
    <col min="9506" max="9506" width="9.83203125" style="164" customWidth="1"/>
    <col min="9507" max="9507" width="10.1640625" style="164" customWidth="1"/>
    <col min="9508" max="9508" width="9" style="164" customWidth="1"/>
    <col min="9509" max="9509" width="9.83203125" style="164" customWidth="1"/>
    <col min="9510" max="9510" width="9" style="164" customWidth="1"/>
    <col min="9511" max="9699" width="9.33203125" style="164"/>
    <col min="9700" max="9700" width="13.5" style="164" customWidth="1"/>
    <col min="9701" max="9701" width="12.83203125" style="164" customWidth="1"/>
    <col min="9702" max="9702" width="11.1640625" style="164" customWidth="1"/>
    <col min="9703" max="9703" width="10.6640625" style="164" customWidth="1"/>
    <col min="9704" max="9704" width="8.5" style="164" customWidth="1"/>
    <col min="9705" max="9714" width="0" style="164" hidden="1" customWidth="1"/>
    <col min="9715" max="9715" width="12.5" style="164" customWidth="1"/>
    <col min="9716" max="9716" width="13.6640625" style="164" customWidth="1"/>
    <col min="9717" max="9720" width="0" style="164" hidden="1" customWidth="1"/>
    <col min="9721" max="9721" width="13.6640625" style="164" customWidth="1"/>
    <col min="9722" max="9722" width="12.5" style="164" customWidth="1"/>
    <col min="9723" max="9723" width="15.5" style="164" customWidth="1"/>
    <col min="9724" max="9724" width="13.6640625" style="164" customWidth="1"/>
    <col min="9725" max="9725" width="10.83203125" style="164" customWidth="1"/>
    <col min="9726" max="9726" width="10.33203125" style="164" customWidth="1"/>
    <col min="9727" max="9728" width="9.83203125" style="164" customWidth="1"/>
    <col min="9729" max="9729" width="10.83203125" style="164" customWidth="1"/>
    <col min="9730" max="9730" width="9.33203125" style="164" customWidth="1"/>
    <col min="9731" max="9733" width="9.83203125" style="164" customWidth="1"/>
    <col min="9734" max="9734" width="14.5" style="164" customWidth="1"/>
    <col min="9735" max="9735" width="18.1640625" style="164" customWidth="1"/>
    <col min="9736" max="9736" width="13.1640625" style="164" customWidth="1"/>
    <col min="9737" max="9737" width="13" style="164" customWidth="1"/>
    <col min="9738" max="9738" width="11" style="164" customWidth="1"/>
    <col min="9739" max="9743" width="0" style="164" hidden="1" customWidth="1"/>
    <col min="9744" max="9744" width="14.33203125" style="164" customWidth="1"/>
    <col min="9745" max="9747" width="0" style="164" hidden="1" customWidth="1"/>
    <col min="9748" max="9748" width="14.33203125" style="164" customWidth="1"/>
    <col min="9749" max="9751" width="0" style="164" hidden="1" customWidth="1"/>
    <col min="9752" max="9752" width="14.33203125" style="164" customWidth="1"/>
    <col min="9753" max="9755" width="0" style="164" hidden="1" customWidth="1"/>
    <col min="9756" max="9757" width="14.33203125" style="164" customWidth="1"/>
    <col min="9758" max="9758" width="14.1640625" style="164" customWidth="1"/>
    <col min="9759" max="9759" width="10.5" style="164" customWidth="1"/>
    <col min="9760" max="9760" width="10.1640625" style="164" customWidth="1"/>
    <col min="9761" max="9761" width="11.6640625" style="164" customWidth="1"/>
    <col min="9762" max="9762" width="9.83203125" style="164" customWidth="1"/>
    <col min="9763" max="9763" width="10.1640625" style="164" customWidth="1"/>
    <col min="9764" max="9764" width="9" style="164" customWidth="1"/>
    <col min="9765" max="9765" width="9.83203125" style="164" customWidth="1"/>
    <col min="9766" max="9766" width="9" style="164" customWidth="1"/>
    <col min="9767" max="9955" width="9.33203125" style="164"/>
    <col min="9956" max="9956" width="13.5" style="164" customWidth="1"/>
    <col min="9957" max="9957" width="12.83203125" style="164" customWidth="1"/>
    <col min="9958" max="9958" width="11.1640625" style="164" customWidth="1"/>
    <col min="9959" max="9959" width="10.6640625" style="164" customWidth="1"/>
    <col min="9960" max="9960" width="8.5" style="164" customWidth="1"/>
    <col min="9961" max="9970" width="0" style="164" hidden="1" customWidth="1"/>
    <col min="9971" max="9971" width="12.5" style="164" customWidth="1"/>
    <col min="9972" max="9972" width="13.6640625" style="164" customWidth="1"/>
    <col min="9973" max="9976" width="0" style="164" hidden="1" customWidth="1"/>
    <col min="9977" max="9977" width="13.6640625" style="164" customWidth="1"/>
    <col min="9978" max="9978" width="12.5" style="164" customWidth="1"/>
    <col min="9979" max="9979" width="15.5" style="164" customWidth="1"/>
    <col min="9980" max="9980" width="13.6640625" style="164" customWidth="1"/>
    <col min="9981" max="9981" width="10.83203125" style="164" customWidth="1"/>
    <col min="9982" max="9982" width="10.33203125" style="164" customWidth="1"/>
    <col min="9983" max="9984" width="9.83203125" style="164" customWidth="1"/>
    <col min="9985" max="9985" width="10.83203125" style="164" customWidth="1"/>
    <col min="9986" max="9986" width="9.33203125" style="164" customWidth="1"/>
    <col min="9987" max="9989" width="9.83203125" style="164" customWidth="1"/>
    <col min="9990" max="9990" width="14.5" style="164" customWidth="1"/>
    <col min="9991" max="9991" width="18.1640625" style="164" customWidth="1"/>
    <col min="9992" max="9992" width="13.1640625" style="164" customWidth="1"/>
    <col min="9993" max="9993" width="13" style="164" customWidth="1"/>
    <col min="9994" max="9994" width="11" style="164" customWidth="1"/>
    <col min="9995" max="9999" width="0" style="164" hidden="1" customWidth="1"/>
    <col min="10000" max="10000" width="14.33203125" style="164" customWidth="1"/>
    <col min="10001" max="10003" width="0" style="164" hidden="1" customWidth="1"/>
    <col min="10004" max="10004" width="14.33203125" style="164" customWidth="1"/>
    <col min="10005" max="10007" width="0" style="164" hidden="1" customWidth="1"/>
    <col min="10008" max="10008" width="14.33203125" style="164" customWidth="1"/>
    <col min="10009" max="10011" width="0" style="164" hidden="1" customWidth="1"/>
    <col min="10012" max="10013" width="14.33203125" style="164" customWidth="1"/>
    <col min="10014" max="10014" width="14.1640625" style="164" customWidth="1"/>
    <col min="10015" max="10015" width="10.5" style="164" customWidth="1"/>
    <col min="10016" max="10016" width="10.1640625" style="164" customWidth="1"/>
    <col min="10017" max="10017" width="11.6640625" style="164" customWidth="1"/>
    <col min="10018" max="10018" width="9.83203125" style="164" customWidth="1"/>
    <col min="10019" max="10019" width="10.1640625" style="164" customWidth="1"/>
    <col min="10020" max="10020" width="9" style="164" customWidth="1"/>
    <col min="10021" max="10021" width="9.83203125" style="164" customWidth="1"/>
    <col min="10022" max="10022" width="9" style="164" customWidth="1"/>
    <col min="10023" max="10211" width="9.33203125" style="164"/>
    <col min="10212" max="10212" width="13.5" style="164" customWidth="1"/>
    <col min="10213" max="10213" width="12.83203125" style="164" customWidth="1"/>
    <col min="10214" max="10214" width="11.1640625" style="164" customWidth="1"/>
    <col min="10215" max="10215" width="10.6640625" style="164" customWidth="1"/>
    <col min="10216" max="10216" width="8.5" style="164" customWidth="1"/>
    <col min="10217" max="10226" width="0" style="164" hidden="1" customWidth="1"/>
    <col min="10227" max="10227" width="12.5" style="164" customWidth="1"/>
    <col min="10228" max="10228" width="13.6640625" style="164" customWidth="1"/>
    <col min="10229" max="10232" width="0" style="164" hidden="1" customWidth="1"/>
    <col min="10233" max="10233" width="13.6640625" style="164" customWidth="1"/>
    <col min="10234" max="10234" width="12.5" style="164" customWidth="1"/>
    <col min="10235" max="10235" width="15.5" style="164" customWidth="1"/>
    <col min="10236" max="10236" width="13.6640625" style="164" customWidth="1"/>
    <col min="10237" max="10237" width="10.83203125" style="164" customWidth="1"/>
    <col min="10238" max="10238" width="10.33203125" style="164" customWidth="1"/>
    <col min="10239" max="10240" width="9.83203125" style="164" customWidth="1"/>
    <col min="10241" max="10241" width="10.83203125" style="164" customWidth="1"/>
    <col min="10242" max="10242" width="9.33203125" style="164" customWidth="1"/>
    <col min="10243" max="10245" width="9.83203125" style="164" customWidth="1"/>
    <col min="10246" max="10246" width="14.5" style="164" customWidth="1"/>
    <col min="10247" max="10247" width="18.1640625" style="164" customWidth="1"/>
    <col min="10248" max="10248" width="13.1640625" style="164" customWidth="1"/>
    <col min="10249" max="10249" width="13" style="164" customWidth="1"/>
    <col min="10250" max="10250" width="11" style="164" customWidth="1"/>
    <col min="10251" max="10255" width="0" style="164" hidden="1" customWidth="1"/>
    <col min="10256" max="10256" width="14.33203125" style="164" customWidth="1"/>
    <col min="10257" max="10259" width="0" style="164" hidden="1" customWidth="1"/>
    <col min="10260" max="10260" width="14.33203125" style="164" customWidth="1"/>
    <col min="10261" max="10263" width="0" style="164" hidden="1" customWidth="1"/>
    <col min="10264" max="10264" width="14.33203125" style="164" customWidth="1"/>
    <col min="10265" max="10267" width="0" style="164" hidden="1" customWidth="1"/>
    <col min="10268" max="10269" width="14.33203125" style="164" customWidth="1"/>
    <col min="10270" max="10270" width="14.1640625" style="164" customWidth="1"/>
    <col min="10271" max="10271" width="10.5" style="164" customWidth="1"/>
    <col min="10272" max="10272" width="10.1640625" style="164" customWidth="1"/>
    <col min="10273" max="10273" width="11.6640625" style="164" customWidth="1"/>
    <col min="10274" max="10274" width="9.83203125" style="164" customWidth="1"/>
    <col min="10275" max="10275" width="10.1640625" style="164" customWidth="1"/>
    <col min="10276" max="10276" width="9" style="164" customWidth="1"/>
    <col min="10277" max="10277" width="9.83203125" style="164" customWidth="1"/>
    <col min="10278" max="10278" width="9" style="164" customWidth="1"/>
    <col min="10279" max="10467" width="9.33203125" style="164"/>
    <col min="10468" max="10468" width="13.5" style="164" customWidth="1"/>
    <col min="10469" max="10469" width="12.83203125" style="164" customWidth="1"/>
    <col min="10470" max="10470" width="11.1640625" style="164" customWidth="1"/>
    <col min="10471" max="10471" width="10.6640625" style="164" customWidth="1"/>
    <col min="10472" max="10472" width="8.5" style="164" customWidth="1"/>
    <col min="10473" max="10482" width="0" style="164" hidden="1" customWidth="1"/>
    <col min="10483" max="10483" width="12.5" style="164" customWidth="1"/>
    <col min="10484" max="10484" width="13.6640625" style="164" customWidth="1"/>
    <col min="10485" max="10488" width="0" style="164" hidden="1" customWidth="1"/>
    <col min="10489" max="10489" width="13.6640625" style="164" customWidth="1"/>
    <col min="10490" max="10490" width="12.5" style="164" customWidth="1"/>
    <col min="10491" max="10491" width="15.5" style="164" customWidth="1"/>
    <col min="10492" max="10492" width="13.6640625" style="164" customWidth="1"/>
    <col min="10493" max="10493" width="10.83203125" style="164" customWidth="1"/>
    <col min="10494" max="10494" width="10.33203125" style="164" customWidth="1"/>
    <col min="10495" max="10496" width="9.83203125" style="164" customWidth="1"/>
    <col min="10497" max="10497" width="10.83203125" style="164" customWidth="1"/>
    <col min="10498" max="10498" width="9.33203125" style="164" customWidth="1"/>
    <col min="10499" max="10501" width="9.83203125" style="164" customWidth="1"/>
    <col min="10502" max="10502" width="14.5" style="164" customWidth="1"/>
    <col min="10503" max="10503" width="18.1640625" style="164" customWidth="1"/>
    <col min="10504" max="10504" width="13.1640625" style="164" customWidth="1"/>
    <col min="10505" max="10505" width="13" style="164" customWidth="1"/>
    <col min="10506" max="10506" width="11" style="164" customWidth="1"/>
    <col min="10507" max="10511" width="0" style="164" hidden="1" customWidth="1"/>
    <col min="10512" max="10512" width="14.33203125" style="164" customWidth="1"/>
    <col min="10513" max="10515" width="0" style="164" hidden="1" customWidth="1"/>
    <col min="10516" max="10516" width="14.33203125" style="164" customWidth="1"/>
    <col min="10517" max="10519" width="0" style="164" hidden="1" customWidth="1"/>
    <col min="10520" max="10520" width="14.33203125" style="164" customWidth="1"/>
    <col min="10521" max="10523" width="0" style="164" hidden="1" customWidth="1"/>
    <col min="10524" max="10525" width="14.33203125" style="164" customWidth="1"/>
    <col min="10526" max="10526" width="14.1640625" style="164" customWidth="1"/>
    <col min="10527" max="10527" width="10.5" style="164" customWidth="1"/>
    <col min="10528" max="10528" width="10.1640625" style="164" customWidth="1"/>
    <col min="10529" max="10529" width="11.6640625" style="164" customWidth="1"/>
    <col min="10530" max="10530" width="9.83203125" style="164" customWidth="1"/>
    <col min="10531" max="10531" width="10.1640625" style="164" customWidth="1"/>
    <col min="10532" max="10532" width="9" style="164" customWidth="1"/>
    <col min="10533" max="10533" width="9.83203125" style="164" customWidth="1"/>
    <col min="10534" max="10534" width="9" style="164" customWidth="1"/>
    <col min="10535" max="10723" width="9.33203125" style="164"/>
    <col min="10724" max="10724" width="13.5" style="164" customWidth="1"/>
    <col min="10725" max="10725" width="12.83203125" style="164" customWidth="1"/>
    <col min="10726" max="10726" width="11.1640625" style="164" customWidth="1"/>
    <col min="10727" max="10727" width="10.6640625" style="164" customWidth="1"/>
    <col min="10728" max="10728" width="8.5" style="164" customWidth="1"/>
    <col min="10729" max="10738" width="0" style="164" hidden="1" customWidth="1"/>
    <col min="10739" max="10739" width="12.5" style="164" customWidth="1"/>
    <col min="10740" max="10740" width="13.6640625" style="164" customWidth="1"/>
    <col min="10741" max="10744" width="0" style="164" hidden="1" customWidth="1"/>
    <col min="10745" max="10745" width="13.6640625" style="164" customWidth="1"/>
    <col min="10746" max="10746" width="12.5" style="164" customWidth="1"/>
    <col min="10747" max="10747" width="15.5" style="164" customWidth="1"/>
    <col min="10748" max="10748" width="13.6640625" style="164" customWidth="1"/>
    <col min="10749" max="10749" width="10.83203125" style="164" customWidth="1"/>
    <col min="10750" max="10750" width="10.33203125" style="164" customWidth="1"/>
    <col min="10751" max="10752" width="9.83203125" style="164" customWidth="1"/>
    <col min="10753" max="10753" width="10.83203125" style="164" customWidth="1"/>
    <col min="10754" max="10754" width="9.33203125" style="164" customWidth="1"/>
    <col min="10755" max="10757" width="9.83203125" style="164" customWidth="1"/>
    <col min="10758" max="10758" width="14.5" style="164" customWidth="1"/>
    <col min="10759" max="10759" width="18.1640625" style="164" customWidth="1"/>
    <col min="10760" max="10760" width="13.1640625" style="164" customWidth="1"/>
    <col min="10761" max="10761" width="13" style="164" customWidth="1"/>
    <col min="10762" max="10762" width="11" style="164" customWidth="1"/>
    <col min="10763" max="10767" width="0" style="164" hidden="1" customWidth="1"/>
    <col min="10768" max="10768" width="14.33203125" style="164" customWidth="1"/>
    <col min="10769" max="10771" width="0" style="164" hidden="1" customWidth="1"/>
    <col min="10772" max="10772" width="14.33203125" style="164" customWidth="1"/>
    <col min="10773" max="10775" width="0" style="164" hidden="1" customWidth="1"/>
    <col min="10776" max="10776" width="14.33203125" style="164" customWidth="1"/>
    <col min="10777" max="10779" width="0" style="164" hidden="1" customWidth="1"/>
    <col min="10780" max="10781" width="14.33203125" style="164" customWidth="1"/>
    <col min="10782" max="10782" width="14.1640625" style="164" customWidth="1"/>
    <col min="10783" max="10783" width="10.5" style="164" customWidth="1"/>
    <col min="10784" max="10784" width="10.1640625" style="164" customWidth="1"/>
    <col min="10785" max="10785" width="11.6640625" style="164" customWidth="1"/>
    <col min="10786" max="10786" width="9.83203125" style="164" customWidth="1"/>
    <col min="10787" max="10787" width="10.1640625" style="164" customWidth="1"/>
    <col min="10788" max="10788" width="9" style="164" customWidth="1"/>
    <col min="10789" max="10789" width="9.83203125" style="164" customWidth="1"/>
    <col min="10790" max="10790" width="9" style="164" customWidth="1"/>
    <col min="10791" max="10979" width="9.33203125" style="164"/>
    <col min="10980" max="10980" width="13.5" style="164" customWidth="1"/>
    <col min="10981" max="10981" width="12.83203125" style="164" customWidth="1"/>
    <col min="10982" max="10982" width="11.1640625" style="164" customWidth="1"/>
    <col min="10983" max="10983" width="10.6640625" style="164" customWidth="1"/>
    <col min="10984" max="10984" width="8.5" style="164" customWidth="1"/>
    <col min="10985" max="10994" width="0" style="164" hidden="1" customWidth="1"/>
    <col min="10995" max="10995" width="12.5" style="164" customWidth="1"/>
    <col min="10996" max="10996" width="13.6640625" style="164" customWidth="1"/>
    <col min="10997" max="11000" width="0" style="164" hidden="1" customWidth="1"/>
    <col min="11001" max="11001" width="13.6640625" style="164" customWidth="1"/>
    <col min="11002" max="11002" width="12.5" style="164" customWidth="1"/>
    <col min="11003" max="11003" width="15.5" style="164" customWidth="1"/>
    <col min="11004" max="11004" width="13.6640625" style="164" customWidth="1"/>
    <col min="11005" max="11005" width="10.83203125" style="164" customWidth="1"/>
    <col min="11006" max="11006" width="10.33203125" style="164" customWidth="1"/>
    <col min="11007" max="11008" width="9.83203125" style="164" customWidth="1"/>
    <col min="11009" max="11009" width="10.83203125" style="164" customWidth="1"/>
    <col min="11010" max="11010" width="9.33203125" style="164" customWidth="1"/>
    <col min="11011" max="11013" width="9.83203125" style="164" customWidth="1"/>
    <col min="11014" max="11014" width="14.5" style="164" customWidth="1"/>
    <col min="11015" max="11015" width="18.1640625" style="164" customWidth="1"/>
    <col min="11016" max="11016" width="13.1640625" style="164" customWidth="1"/>
    <col min="11017" max="11017" width="13" style="164" customWidth="1"/>
    <col min="11018" max="11018" width="11" style="164" customWidth="1"/>
    <col min="11019" max="11023" width="0" style="164" hidden="1" customWidth="1"/>
    <col min="11024" max="11024" width="14.33203125" style="164" customWidth="1"/>
    <col min="11025" max="11027" width="0" style="164" hidden="1" customWidth="1"/>
    <col min="11028" max="11028" width="14.33203125" style="164" customWidth="1"/>
    <col min="11029" max="11031" width="0" style="164" hidden="1" customWidth="1"/>
    <col min="11032" max="11032" width="14.33203125" style="164" customWidth="1"/>
    <col min="11033" max="11035" width="0" style="164" hidden="1" customWidth="1"/>
    <col min="11036" max="11037" width="14.33203125" style="164" customWidth="1"/>
    <col min="11038" max="11038" width="14.1640625" style="164" customWidth="1"/>
    <col min="11039" max="11039" width="10.5" style="164" customWidth="1"/>
    <col min="11040" max="11040" width="10.1640625" style="164" customWidth="1"/>
    <col min="11041" max="11041" width="11.6640625" style="164" customWidth="1"/>
    <col min="11042" max="11042" width="9.83203125" style="164" customWidth="1"/>
    <col min="11043" max="11043" width="10.1640625" style="164" customWidth="1"/>
    <col min="11044" max="11044" width="9" style="164" customWidth="1"/>
    <col min="11045" max="11045" width="9.83203125" style="164" customWidth="1"/>
    <col min="11046" max="11046" width="9" style="164" customWidth="1"/>
    <col min="11047" max="11235" width="9.33203125" style="164"/>
    <col min="11236" max="11236" width="13.5" style="164" customWidth="1"/>
    <col min="11237" max="11237" width="12.83203125" style="164" customWidth="1"/>
    <col min="11238" max="11238" width="11.1640625" style="164" customWidth="1"/>
    <col min="11239" max="11239" width="10.6640625" style="164" customWidth="1"/>
    <col min="11240" max="11240" width="8.5" style="164" customWidth="1"/>
    <col min="11241" max="11250" width="0" style="164" hidden="1" customWidth="1"/>
    <col min="11251" max="11251" width="12.5" style="164" customWidth="1"/>
    <col min="11252" max="11252" width="13.6640625" style="164" customWidth="1"/>
    <col min="11253" max="11256" width="0" style="164" hidden="1" customWidth="1"/>
    <col min="11257" max="11257" width="13.6640625" style="164" customWidth="1"/>
    <col min="11258" max="11258" width="12.5" style="164" customWidth="1"/>
    <col min="11259" max="11259" width="15.5" style="164" customWidth="1"/>
    <col min="11260" max="11260" width="13.6640625" style="164" customWidth="1"/>
    <col min="11261" max="11261" width="10.83203125" style="164" customWidth="1"/>
    <col min="11262" max="11262" width="10.33203125" style="164" customWidth="1"/>
    <col min="11263" max="11264" width="9.83203125" style="164" customWidth="1"/>
    <col min="11265" max="11265" width="10.83203125" style="164" customWidth="1"/>
    <col min="11266" max="11266" width="9.33203125" style="164" customWidth="1"/>
    <col min="11267" max="11269" width="9.83203125" style="164" customWidth="1"/>
    <col min="11270" max="11270" width="14.5" style="164" customWidth="1"/>
    <col min="11271" max="11271" width="18.1640625" style="164" customWidth="1"/>
    <col min="11272" max="11272" width="13.1640625" style="164" customWidth="1"/>
    <col min="11273" max="11273" width="13" style="164" customWidth="1"/>
    <col min="11274" max="11274" width="11" style="164" customWidth="1"/>
    <col min="11275" max="11279" width="0" style="164" hidden="1" customWidth="1"/>
    <col min="11280" max="11280" width="14.33203125" style="164" customWidth="1"/>
    <col min="11281" max="11283" width="0" style="164" hidden="1" customWidth="1"/>
    <col min="11284" max="11284" width="14.33203125" style="164" customWidth="1"/>
    <col min="11285" max="11287" width="0" style="164" hidden="1" customWidth="1"/>
    <col min="11288" max="11288" width="14.33203125" style="164" customWidth="1"/>
    <col min="11289" max="11291" width="0" style="164" hidden="1" customWidth="1"/>
    <col min="11292" max="11293" width="14.33203125" style="164" customWidth="1"/>
    <col min="11294" max="11294" width="14.1640625" style="164" customWidth="1"/>
    <col min="11295" max="11295" width="10.5" style="164" customWidth="1"/>
    <col min="11296" max="11296" width="10.1640625" style="164" customWidth="1"/>
    <col min="11297" max="11297" width="11.6640625" style="164" customWidth="1"/>
    <col min="11298" max="11298" width="9.83203125" style="164" customWidth="1"/>
    <col min="11299" max="11299" width="10.1640625" style="164" customWidth="1"/>
    <col min="11300" max="11300" width="9" style="164" customWidth="1"/>
    <col min="11301" max="11301" width="9.83203125" style="164" customWidth="1"/>
    <col min="11302" max="11302" width="9" style="164" customWidth="1"/>
    <col min="11303" max="11491" width="9.33203125" style="164"/>
    <col min="11492" max="11492" width="13.5" style="164" customWidth="1"/>
    <col min="11493" max="11493" width="12.83203125" style="164" customWidth="1"/>
    <col min="11494" max="11494" width="11.1640625" style="164" customWidth="1"/>
    <col min="11495" max="11495" width="10.6640625" style="164" customWidth="1"/>
    <col min="11496" max="11496" width="8.5" style="164" customWidth="1"/>
    <col min="11497" max="11506" width="0" style="164" hidden="1" customWidth="1"/>
    <col min="11507" max="11507" width="12.5" style="164" customWidth="1"/>
    <col min="11508" max="11508" width="13.6640625" style="164" customWidth="1"/>
    <col min="11509" max="11512" width="0" style="164" hidden="1" customWidth="1"/>
    <col min="11513" max="11513" width="13.6640625" style="164" customWidth="1"/>
    <col min="11514" max="11514" width="12.5" style="164" customWidth="1"/>
    <col min="11515" max="11515" width="15.5" style="164" customWidth="1"/>
    <col min="11516" max="11516" width="13.6640625" style="164" customWidth="1"/>
    <col min="11517" max="11517" width="10.83203125" style="164" customWidth="1"/>
    <col min="11518" max="11518" width="10.33203125" style="164" customWidth="1"/>
    <col min="11519" max="11520" width="9.83203125" style="164" customWidth="1"/>
    <col min="11521" max="11521" width="10.83203125" style="164" customWidth="1"/>
    <col min="11522" max="11522" width="9.33203125" style="164" customWidth="1"/>
    <col min="11523" max="11525" width="9.83203125" style="164" customWidth="1"/>
    <col min="11526" max="11526" width="14.5" style="164" customWidth="1"/>
    <col min="11527" max="11527" width="18.1640625" style="164" customWidth="1"/>
    <col min="11528" max="11528" width="13.1640625" style="164" customWidth="1"/>
    <col min="11529" max="11529" width="13" style="164" customWidth="1"/>
    <col min="11530" max="11530" width="11" style="164" customWidth="1"/>
    <col min="11531" max="11535" width="0" style="164" hidden="1" customWidth="1"/>
    <col min="11536" max="11536" width="14.33203125" style="164" customWidth="1"/>
    <col min="11537" max="11539" width="0" style="164" hidden="1" customWidth="1"/>
    <col min="11540" max="11540" width="14.33203125" style="164" customWidth="1"/>
    <col min="11541" max="11543" width="0" style="164" hidden="1" customWidth="1"/>
    <col min="11544" max="11544" width="14.33203125" style="164" customWidth="1"/>
    <col min="11545" max="11547" width="0" style="164" hidden="1" customWidth="1"/>
    <col min="11548" max="11549" width="14.33203125" style="164" customWidth="1"/>
    <col min="11550" max="11550" width="14.1640625" style="164" customWidth="1"/>
    <col min="11551" max="11551" width="10.5" style="164" customWidth="1"/>
    <col min="11552" max="11552" width="10.1640625" style="164" customWidth="1"/>
    <col min="11553" max="11553" width="11.6640625" style="164" customWidth="1"/>
    <col min="11554" max="11554" width="9.83203125" style="164" customWidth="1"/>
    <col min="11555" max="11555" width="10.1640625" style="164" customWidth="1"/>
    <col min="11556" max="11556" width="9" style="164" customWidth="1"/>
    <col min="11557" max="11557" width="9.83203125" style="164" customWidth="1"/>
    <col min="11558" max="11558" width="9" style="164" customWidth="1"/>
    <col min="11559" max="11747" width="9.33203125" style="164"/>
    <col min="11748" max="11748" width="13.5" style="164" customWidth="1"/>
    <col min="11749" max="11749" width="12.83203125" style="164" customWidth="1"/>
    <col min="11750" max="11750" width="11.1640625" style="164" customWidth="1"/>
    <col min="11751" max="11751" width="10.6640625" style="164" customWidth="1"/>
    <col min="11752" max="11752" width="8.5" style="164" customWidth="1"/>
    <col min="11753" max="11762" width="0" style="164" hidden="1" customWidth="1"/>
    <col min="11763" max="11763" width="12.5" style="164" customWidth="1"/>
    <col min="11764" max="11764" width="13.6640625" style="164" customWidth="1"/>
    <col min="11765" max="11768" width="0" style="164" hidden="1" customWidth="1"/>
    <col min="11769" max="11769" width="13.6640625" style="164" customWidth="1"/>
    <col min="11770" max="11770" width="12.5" style="164" customWidth="1"/>
    <col min="11771" max="11771" width="15.5" style="164" customWidth="1"/>
    <col min="11772" max="11772" width="13.6640625" style="164" customWidth="1"/>
    <col min="11773" max="11773" width="10.83203125" style="164" customWidth="1"/>
    <col min="11774" max="11774" width="10.33203125" style="164" customWidth="1"/>
    <col min="11775" max="11776" width="9.83203125" style="164" customWidth="1"/>
    <col min="11777" max="11777" width="10.83203125" style="164" customWidth="1"/>
    <col min="11778" max="11778" width="9.33203125" style="164" customWidth="1"/>
    <col min="11779" max="11781" width="9.83203125" style="164" customWidth="1"/>
    <col min="11782" max="11782" width="14.5" style="164" customWidth="1"/>
    <col min="11783" max="11783" width="18.1640625" style="164" customWidth="1"/>
    <col min="11784" max="11784" width="13.1640625" style="164" customWidth="1"/>
    <col min="11785" max="11785" width="13" style="164" customWidth="1"/>
    <col min="11786" max="11786" width="11" style="164" customWidth="1"/>
    <col min="11787" max="11791" width="0" style="164" hidden="1" customWidth="1"/>
    <col min="11792" max="11792" width="14.33203125" style="164" customWidth="1"/>
    <col min="11793" max="11795" width="0" style="164" hidden="1" customWidth="1"/>
    <col min="11796" max="11796" width="14.33203125" style="164" customWidth="1"/>
    <col min="11797" max="11799" width="0" style="164" hidden="1" customWidth="1"/>
    <col min="11800" max="11800" width="14.33203125" style="164" customWidth="1"/>
    <col min="11801" max="11803" width="0" style="164" hidden="1" customWidth="1"/>
    <col min="11804" max="11805" width="14.33203125" style="164" customWidth="1"/>
    <col min="11806" max="11806" width="14.1640625" style="164" customWidth="1"/>
    <col min="11807" max="11807" width="10.5" style="164" customWidth="1"/>
    <col min="11808" max="11808" width="10.1640625" style="164" customWidth="1"/>
    <col min="11809" max="11809" width="11.6640625" style="164" customWidth="1"/>
    <col min="11810" max="11810" width="9.83203125" style="164" customWidth="1"/>
    <col min="11811" max="11811" width="10.1640625" style="164" customWidth="1"/>
    <col min="11812" max="11812" width="9" style="164" customWidth="1"/>
    <col min="11813" max="11813" width="9.83203125" style="164" customWidth="1"/>
    <col min="11814" max="11814" width="9" style="164" customWidth="1"/>
    <col min="11815" max="12003" width="9.33203125" style="164"/>
    <col min="12004" max="12004" width="13.5" style="164" customWidth="1"/>
    <col min="12005" max="12005" width="12.83203125" style="164" customWidth="1"/>
    <col min="12006" max="12006" width="11.1640625" style="164" customWidth="1"/>
    <col min="12007" max="12007" width="10.6640625" style="164" customWidth="1"/>
    <col min="12008" max="12008" width="8.5" style="164" customWidth="1"/>
    <col min="12009" max="12018" width="0" style="164" hidden="1" customWidth="1"/>
    <col min="12019" max="12019" width="12.5" style="164" customWidth="1"/>
    <col min="12020" max="12020" width="13.6640625" style="164" customWidth="1"/>
    <col min="12021" max="12024" width="0" style="164" hidden="1" customWidth="1"/>
    <col min="12025" max="12025" width="13.6640625" style="164" customWidth="1"/>
    <col min="12026" max="12026" width="12.5" style="164" customWidth="1"/>
    <col min="12027" max="12027" width="15.5" style="164" customWidth="1"/>
    <col min="12028" max="12028" width="13.6640625" style="164" customWidth="1"/>
    <col min="12029" max="12029" width="10.83203125" style="164" customWidth="1"/>
    <col min="12030" max="12030" width="10.33203125" style="164" customWidth="1"/>
    <col min="12031" max="12032" width="9.83203125" style="164" customWidth="1"/>
    <col min="12033" max="12033" width="10.83203125" style="164" customWidth="1"/>
    <col min="12034" max="12034" width="9.33203125" style="164" customWidth="1"/>
    <col min="12035" max="12037" width="9.83203125" style="164" customWidth="1"/>
    <col min="12038" max="12038" width="14.5" style="164" customWidth="1"/>
    <col min="12039" max="12039" width="18.1640625" style="164" customWidth="1"/>
    <col min="12040" max="12040" width="13.1640625" style="164" customWidth="1"/>
    <col min="12041" max="12041" width="13" style="164" customWidth="1"/>
    <col min="12042" max="12042" width="11" style="164" customWidth="1"/>
    <col min="12043" max="12047" width="0" style="164" hidden="1" customWidth="1"/>
    <col min="12048" max="12048" width="14.33203125" style="164" customWidth="1"/>
    <col min="12049" max="12051" width="0" style="164" hidden="1" customWidth="1"/>
    <col min="12052" max="12052" width="14.33203125" style="164" customWidth="1"/>
    <col min="12053" max="12055" width="0" style="164" hidden="1" customWidth="1"/>
    <col min="12056" max="12056" width="14.33203125" style="164" customWidth="1"/>
    <col min="12057" max="12059" width="0" style="164" hidden="1" customWidth="1"/>
    <col min="12060" max="12061" width="14.33203125" style="164" customWidth="1"/>
    <col min="12062" max="12062" width="14.1640625" style="164" customWidth="1"/>
    <col min="12063" max="12063" width="10.5" style="164" customWidth="1"/>
    <col min="12064" max="12064" width="10.1640625" style="164" customWidth="1"/>
    <col min="12065" max="12065" width="11.6640625" style="164" customWidth="1"/>
    <col min="12066" max="12066" width="9.83203125" style="164" customWidth="1"/>
    <col min="12067" max="12067" width="10.1640625" style="164" customWidth="1"/>
    <col min="12068" max="12068" width="9" style="164" customWidth="1"/>
    <col min="12069" max="12069" width="9.83203125" style="164" customWidth="1"/>
    <col min="12070" max="12070" width="9" style="164" customWidth="1"/>
    <col min="12071" max="12259" width="9.33203125" style="164"/>
    <col min="12260" max="12260" width="13.5" style="164" customWidth="1"/>
    <col min="12261" max="12261" width="12.83203125" style="164" customWidth="1"/>
    <col min="12262" max="12262" width="11.1640625" style="164" customWidth="1"/>
    <col min="12263" max="12263" width="10.6640625" style="164" customWidth="1"/>
    <col min="12264" max="12264" width="8.5" style="164" customWidth="1"/>
    <col min="12265" max="12274" width="0" style="164" hidden="1" customWidth="1"/>
    <col min="12275" max="12275" width="12.5" style="164" customWidth="1"/>
    <col min="12276" max="12276" width="13.6640625" style="164" customWidth="1"/>
    <col min="12277" max="12280" width="0" style="164" hidden="1" customWidth="1"/>
    <col min="12281" max="12281" width="13.6640625" style="164" customWidth="1"/>
    <col min="12282" max="12282" width="12.5" style="164" customWidth="1"/>
    <col min="12283" max="12283" width="15.5" style="164" customWidth="1"/>
    <col min="12284" max="12284" width="13.6640625" style="164" customWidth="1"/>
    <col min="12285" max="12285" width="10.83203125" style="164" customWidth="1"/>
    <col min="12286" max="12286" width="10.33203125" style="164" customWidth="1"/>
    <col min="12287" max="12288" width="9.83203125" style="164" customWidth="1"/>
    <col min="12289" max="12289" width="10.83203125" style="164" customWidth="1"/>
    <col min="12290" max="12290" width="9.33203125" style="164" customWidth="1"/>
    <col min="12291" max="12293" width="9.83203125" style="164" customWidth="1"/>
    <col min="12294" max="12294" width="14.5" style="164" customWidth="1"/>
    <col min="12295" max="12295" width="18.1640625" style="164" customWidth="1"/>
    <col min="12296" max="12296" width="13.1640625" style="164" customWidth="1"/>
    <col min="12297" max="12297" width="13" style="164" customWidth="1"/>
    <col min="12298" max="12298" width="11" style="164" customWidth="1"/>
    <col min="12299" max="12303" width="0" style="164" hidden="1" customWidth="1"/>
    <col min="12304" max="12304" width="14.33203125" style="164" customWidth="1"/>
    <col min="12305" max="12307" width="0" style="164" hidden="1" customWidth="1"/>
    <col min="12308" max="12308" width="14.33203125" style="164" customWidth="1"/>
    <col min="12309" max="12311" width="0" style="164" hidden="1" customWidth="1"/>
    <col min="12312" max="12312" width="14.33203125" style="164" customWidth="1"/>
    <col min="12313" max="12315" width="0" style="164" hidden="1" customWidth="1"/>
    <col min="12316" max="12317" width="14.33203125" style="164" customWidth="1"/>
    <col min="12318" max="12318" width="14.1640625" style="164" customWidth="1"/>
    <col min="12319" max="12319" width="10.5" style="164" customWidth="1"/>
    <col min="12320" max="12320" width="10.1640625" style="164" customWidth="1"/>
    <col min="12321" max="12321" width="11.6640625" style="164" customWidth="1"/>
    <col min="12322" max="12322" width="9.83203125" style="164" customWidth="1"/>
    <col min="12323" max="12323" width="10.1640625" style="164" customWidth="1"/>
    <col min="12324" max="12324" width="9" style="164" customWidth="1"/>
    <col min="12325" max="12325" width="9.83203125" style="164" customWidth="1"/>
    <col min="12326" max="12326" width="9" style="164" customWidth="1"/>
    <col min="12327" max="12515" width="9.33203125" style="164"/>
    <col min="12516" max="12516" width="13.5" style="164" customWidth="1"/>
    <col min="12517" max="12517" width="12.83203125" style="164" customWidth="1"/>
    <col min="12518" max="12518" width="11.1640625" style="164" customWidth="1"/>
    <col min="12519" max="12519" width="10.6640625" style="164" customWidth="1"/>
    <col min="12520" max="12520" width="8.5" style="164" customWidth="1"/>
    <col min="12521" max="12530" width="0" style="164" hidden="1" customWidth="1"/>
    <col min="12531" max="12531" width="12.5" style="164" customWidth="1"/>
    <col min="12532" max="12532" width="13.6640625" style="164" customWidth="1"/>
    <col min="12533" max="12536" width="0" style="164" hidden="1" customWidth="1"/>
    <col min="12537" max="12537" width="13.6640625" style="164" customWidth="1"/>
    <col min="12538" max="12538" width="12.5" style="164" customWidth="1"/>
    <col min="12539" max="12539" width="15.5" style="164" customWidth="1"/>
    <col min="12540" max="12540" width="13.6640625" style="164" customWidth="1"/>
    <col min="12541" max="12541" width="10.83203125" style="164" customWidth="1"/>
    <col min="12542" max="12542" width="10.33203125" style="164" customWidth="1"/>
    <col min="12543" max="12544" width="9.83203125" style="164" customWidth="1"/>
    <col min="12545" max="12545" width="10.83203125" style="164" customWidth="1"/>
    <col min="12546" max="12546" width="9.33203125" style="164" customWidth="1"/>
    <col min="12547" max="12549" width="9.83203125" style="164" customWidth="1"/>
    <col min="12550" max="12550" width="14.5" style="164" customWidth="1"/>
    <col min="12551" max="12551" width="18.1640625" style="164" customWidth="1"/>
    <col min="12552" max="12552" width="13.1640625" style="164" customWidth="1"/>
    <col min="12553" max="12553" width="13" style="164" customWidth="1"/>
    <col min="12554" max="12554" width="11" style="164" customWidth="1"/>
    <col min="12555" max="12559" width="0" style="164" hidden="1" customWidth="1"/>
    <col min="12560" max="12560" width="14.33203125" style="164" customWidth="1"/>
    <col min="12561" max="12563" width="0" style="164" hidden="1" customWidth="1"/>
    <col min="12564" max="12564" width="14.33203125" style="164" customWidth="1"/>
    <col min="12565" max="12567" width="0" style="164" hidden="1" customWidth="1"/>
    <col min="12568" max="12568" width="14.33203125" style="164" customWidth="1"/>
    <col min="12569" max="12571" width="0" style="164" hidden="1" customWidth="1"/>
    <col min="12572" max="12573" width="14.33203125" style="164" customWidth="1"/>
    <col min="12574" max="12574" width="14.1640625" style="164" customWidth="1"/>
    <col min="12575" max="12575" width="10.5" style="164" customWidth="1"/>
    <col min="12576" max="12576" width="10.1640625" style="164" customWidth="1"/>
    <col min="12577" max="12577" width="11.6640625" style="164" customWidth="1"/>
    <col min="12578" max="12578" width="9.83203125" style="164" customWidth="1"/>
    <col min="12579" max="12579" width="10.1640625" style="164" customWidth="1"/>
    <col min="12580" max="12580" width="9" style="164" customWidth="1"/>
    <col min="12581" max="12581" width="9.83203125" style="164" customWidth="1"/>
    <col min="12582" max="12582" width="9" style="164" customWidth="1"/>
    <col min="12583" max="12771" width="9.33203125" style="164"/>
    <col min="12772" max="12772" width="13.5" style="164" customWidth="1"/>
    <col min="12773" max="12773" width="12.83203125" style="164" customWidth="1"/>
    <col min="12774" max="12774" width="11.1640625" style="164" customWidth="1"/>
    <col min="12775" max="12775" width="10.6640625" style="164" customWidth="1"/>
    <col min="12776" max="12776" width="8.5" style="164" customWidth="1"/>
    <col min="12777" max="12786" width="0" style="164" hidden="1" customWidth="1"/>
    <col min="12787" max="12787" width="12.5" style="164" customWidth="1"/>
    <col min="12788" max="12788" width="13.6640625" style="164" customWidth="1"/>
    <col min="12789" max="12792" width="0" style="164" hidden="1" customWidth="1"/>
    <col min="12793" max="12793" width="13.6640625" style="164" customWidth="1"/>
    <col min="12794" max="12794" width="12.5" style="164" customWidth="1"/>
    <col min="12795" max="12795" width="15.5" style="164" customWidth="1"/>
    <col min="12796" max="12796" width="13.6640625" style="164" customWidth="1"/>
    <col min="12797" max="12797" width="10.83203125" style="164" customWidth="1"/>
    <col min="12798" max="12798" width="10.33203125" style="164" customWidth="1"/>
    <col min="12799" max="12800" width="9.83203125" style="164" customWidth="1"/>
    <col min="12801" max="12801" width="10.83203125" style="164" customWidth="1"/>
    <col min="12802" max="12802" width="9.33203125" style="164" customWidth="1"/>
    <col min="12803" max="12805" width="9.83203125" style="164" customWidth="1"/>
    <col min="12806" max="12806" width="14.5" style="164" customWidth="1"/>
    <col min="12807" max="12807" width="18.1640625" style="164" customWidth="1"/>
    <col min="12808" max="12808" width="13.1640625" style="164" customWidth="1"/>
    <col min="12809" max="12809" width="13" style="164" customWidth="1"/>
    <col min="12810" max="12810" width="11" style="164" customWidth="1"/>
    <col min="12811" max="12815" width="0" style="164" hidden="1" customWidth="1"/>
    <col min="12816" max="12816" width="14.33203125" style="164" customWidth="1"/>
    <col min="12817" max="12819" width="0" style="164" hidden="1" customWidth="1"/>
    <col min="12820" max="12820" width="14.33203125" style="164" customWidth="1"/>
    <col min="12821" max="12823" width="0" style="164" hidden="1" customWidth="1"/>
    <col min="12824" max="12824" width="14.33203125" style="164" customWidth="1"/>
    <col min="12825" max="12827" width="0" style="164" hidden="1" customWidth="1"/>
    <col min="12828" max="12829" width="14.33203125" style="164" customWidth="1"/>
    <col min="12830" max="12830" width="14.1640625" style="164" customWidth="1"/>
    <col min="12831" max="12831" width="10.5" style="164" customWidth="1"/>
    <col min="12832" max="12832" width="10.1640625" style="164" customWidth="1"/>
    <col min="12833" max="12833" width="11.6640625" style="164" customWidth="1"/>
    <col min="12834" max="12834" width="9.83203125" style="164" customWidth="1"/>
    <col min="12835" max="12835" width="10.1640625" style="164" customWidth="1"/>
    <col min="12836" max="12836" width="9" style="164" customWidth="1"/>
    <col min="12837" max="12837" width="9.83203125" style="164" customWidth="1"/>
    <col min="12838" max="12838" width="9" style="164" customWidth="1"/>
    <col min="12839" max="13027" width="9.33203125" style="164"/>
    <col min="13028" max="13028" width="13.5" style="164" customWidth="1"/>
    <col min="13029" max="13029" width="12.83203125" style="164" customWidth="1"/>
    <col min="13030" max="13030" width="11.1640625" style="164" customWidth="1"/>
    <col min="13031" max="13031" width="10.6640625" style="164" customWidth="1"/>
    <col min="13032" max="13032" width="8.5" style="164" customWidth="1"/>
    <col min="13033" max="13042" width="0" style="164" hidden="1" customWidth="1"/>
    <col min="13043" max="13043" width="12.5" style="164" customWidth="1"/>
    <col min="13044" max="13044" width="13.6640625" style="164" customWidth="1"/>
    <col min="13045" max="13048" width="0" style="164" hidden="1" customWidth="1"/>
    <col min="13049" max="13049" width="13.6640625" style="164" customWidth="1"/>
    <col min="13050" max="13050" width="12.5" style="164" customWidth="1"/>
    <col min="13051" max="13051" width="15.5" style="164" customWidth="1"/>
    <col min="13052" max="13052" width="13.6640625" style="164" customWidth="1"/>
    <col min="13053" max="13053" width="10.83203125" style="164" customWidth="1"/>
    <col min="13054" max="13054" width="10.33203125" style="164" customWidth="1"/>
    <col min="13055" max="13056" width="9.83203125" style="164" customWidth="1"/>
    <col min="13057" max="13057" width="10.83203125" style="164" customWidth="1"/>
    <col min="13058" max="13058" width="9.33203125" style="164" customWidth="1"/>
    <col min="13059" max="13061" width="9.83203125" style="164" customWidth="1"/>
    <col min="13062" max="13062" width="14.5" style="164" customWidth="1"/>
    <col min="13063" max="13063" width="18.1640625" style="164" customWidth="1"/>
    <col min="13064" max="13064" width="13.1640625" style="164" customWidth="1"/>
    <col min="13065" max="13065" width="13" style="164" customWidth="1"/>
    <col min="13066" max="13066" width="11" style="164" customWidth="1"/>
    <col min="13067" max="13071" width="0" style="164" hidden="1" customWidth="1"/>
    <col min="13072" max="13072" width="14.33203125" style="164" customWidth="1"/>
    <col min="13073" max="13075" width="0" style="164" hidden="1" customWidth="1"/>
    <col min="13076" max="13076" width="14.33203125" style="164" customWidth="1"/>
    <col min="13077" max="13079" width="0" style="164" hidden="1" customWidth="1"/>
    <col min="13080" max="13080" width="14.33203125" style="164" customWidth="1"/>
    <col min="13081" max="13083" width="0" style="164" hidden="1" customWidth="1"/>
    <col min="13084" max="13085" width="14.33203125" style="164" customWidth="1"/>
    <col min="13086" max="13086" width="14.1640625" style="164" customWidth="1"/>
    <col min="13087" max="13087" width="10.5" style="164" customWidth="1"/>
    <col min="13088" max="13088" width="10.1640625" style="164" customWidth="1"/>
    <col min="13089" max="13089" width="11.6640625" style="164" customWidth="1"/>
    <col min="13090" max="13090" width="9.83203125" style="164" customWidth="1"/>
    <col min="13091" max="13091" width="10.1640625" style="164" customWidth="1"/>
    <col min="13092" max="13092" width="9" style="164" customWidth="1"/>
    <col min="13093" max="13093" width="9.83203125" style="164" customWidth="1"/>
    <col min="13094" max="13094" width="9" style="164" customWidth="1"/>
    <col min="13095" max="13283" width="9.33203125" style="164"/>
    <col min="13284" max="13284" width="13.5" style="164" customWidth="1"/>
    <col min="13285" max="13285" width="12.83203125" style="164" customWidth="1"/>
    <col min="13286" max="13286" width="11.1640625" style="164" customWidth="1"/>
    <col min="13287" max="13287" width="10.6640625" style="164" customWidth="1"/>
    <col min="13288" max="13288" width="8.5" style="164" customWidth="1"/>
    <col min="13289" max="13298" width="0" style="164" hidden="1" customWidth="1"/>
    <col min="13299" max="13299" width="12.5" style="164" customWidth="1"/>
    <col min="13300" max="13300" width="13.6640625" style="164" customWidth="1"/>
    <col min="13301" max="13304" width="0" style="164" hidden="1" customWidth="1"/>
    <col min="13305" max="13305" width="13.6640625" style="164" customWidth="1"/>
    <col min="13306" max="13306" width="12.5" style="164" customWidth="1"/>
    <col min="13307" max="13307" width="15.5" style="164" customWidth="1"/>
    <col min="13308" max="13308" width="13.6640625" style="164" customWidth="1"/>
    <col min="13309" max="13309" width="10.83203125" style="164" customWidth="1"/>
    <col min="13310" max="13310" width="10.33203125" style="164" customWidth="1"/>
    <col min="13311" max="13312" width="9.83203125" style="164" customWidth="1"/>
    <col min="13313" max="13313" width="10.83203125" style="164" customWidth="1"/>
    <col min="13314" max="13314" width="9.33203125" style="164" customWidth="1"/>
    <col min="13315" max="13317" width="9.83203125" style="164" customWidth="1"/>
    <col min="13318" max="13318" width="14.5" style="164" customWidth="1"/>
    <col min="13319" max="13319" width="18.1640625" style="164" customWidth="1"/>
    <col min="13320" max="13320" width="13.1640625" style="164" customWidth="1"/>
    <col min="13321" max="13321" width="13" style="164" customWidth="1"/>
    <col min="13322" max="13322" width="11" style="164" customWidth="1"/>
    <col min="13323" max="13327" width="0" style="164" hidden="1" customWidth="1"/>
    <col min="13328" max="13328" width="14.33203125" style="164" customWidth="1"/>
    <col min="13329" max="13331" width="0" style="164" hidden="1" customWidth="1"/>
    <col min="13332" max="13332" width="14.33203125" style="164" customWidth="1"/>
    <col min="13333" max="13335" width="0" style="164" hidden="1" customWidth="1"/>
    <col min="13336" max="13336" width="14.33203125" style="164" customWidth="1"/>
    <col min="13337" max="13339" width="0" style="164" hidden="1" customWidth="1"/>
    <col min="13340" max="13341" width="14.33203125" style="164" customWidth="1"/>
    <col min="13342" max="13342" width="14.1640625" style="164" customWidth="1"/>
    <col min="13343" max="13343" width="10.5" style="164" customWidth="1"/>
    <col min="13344" max="13344" width="10.1640625" style="164" customWidth="1"/>
    <col min="13345" max="13345" width="11.6640625" style="164" customWidth="1"/>
    <col min="13346" max="13346" width="9.83203125" style="164" customWidth="1"/>
    <col min="13347" max="13347" width="10.1640625" style="164" customWidth="1"/>
    <col min="13348" max="13348" width="9" style="164" customWidth="1"/>
    <col min="13349" max="13349" width="9.83203125" style="164" customWidth="1"/>
    <col min="13350" max="13350" width="9" style="164" customWidth="1"/>
    <col min="13351" max="13539" width="9.33203125" style="164"/>
    <col min="13540" max="13540" width="13.5" style="164" customWidth="1"/>
    <col min="13541" max="13541" width="12.83203125" style="164" customWidth="1"/>
    <col min="13542" max="13542" width="11.1640625" style="164" customWidth="1"/>
    <col min="13543" max="13543" width="10.6640625" style="164" customWidth="1"/>
    <col min="13544" max="13544" width="8.5" style="164" customWidth="1"/>
    <col min="13545" max="13554" width="0" style="164" hidden="1" customWidth="1"/>
    <col min="13555" max="13555" width="12.5" style="164" customWidth="1"/>
    <col min="13556" max="13556" width="13.6640625" style="164" customWidth="1"/>
    <col min="13557" max="13560" width="0" style="164" hidden="1" customWidth="1"/>
    <col min="13561" max="13561" width="13.6640625" style="164" customWidth="1"/>
    <col min="13562" max="13562" width="12.5" style="164" customWidth="1"/>
    <col min="13563" max="13563" width="15.5" style="164" customWidth="1"/>
    <col min="13564" max="13564" width="13.6640625" style="164" customWidth="1"/>
    <col min="13565" max="13565" width="10.83203125" style="164" customWidth="1"/>
    <col min="13566" max="13566" width="10.33203125" style="164" customWidth="1"/>
    <col min="13567" max="13568" width="9.83203125" style="164" customWidth="1"/>
    <col min="13569" max="13569" width="10.83203125" style="164" customWidth="1"/>
    <col min="13570" max="13570" width="9.33203125" style="164" customWidth="1"/>
    <col min="13571" max="13573" width="9.83203125" style="164" customWidth="1"/>
    <col min="13574" max="13574" width="14.5" style="164" customWidth="1"/>
    <col min="13575" max="13575" width="18.1640625" style="164" customWidth="1"/>
    <col min="13576" max="13576" width="13.1640625" style="164" customWidth="1"/>
    <col min="13577" max="13577" width="13" style="164" customWidth="1"/>
    <col min="13578" max="13578" width="11" style="164" customWidth="1"/>
    <col min="13579" max="13583" width="0" style="164" hidden="1" customWidth="1"/>
    <col min="13584" max="13584" width="14.33203125" style="164" customWidth="1"/>
    <col min="13585" max="13587" width="0" style="164" hidden="1" customWidth="1"/>
    <col min="13588" max="13588" width="14.33203125" style="164" customWidth="1"/>
    <col min="13589" max="13591" width="0" style="164" hidden="1" customWidth="1"/>
    <col min="13592" max="13592" width="14.33203125" style="164" customWidth="1"/>
    <col min="13593" max="13595" width="0" style="164" hidden="1" customWidth="1"/>
    <col min="13596" max="13597" width="14.33203125" style="164" customWidth="1"/>
    <col min="13598" max="13598" width="14.1640625" style="164" customWidth="1"/>
    <col min="13599" max="13599" width="10.5" style="164" customWidth="1"/>
    <col min="13600" max="13600" width="10.1640625" style="164" customWidth="1"/>
    <col min="13601" max="13601" width="11.6640625" style="164" customWidth="1"/>
    <col min="13602" max="13602" width="9.83203125" style="164" customWidth="1"/>
    <col min="13603" max="13603" width="10.1640625" style="164" customWidth="1"/>
    <col min="13604" max="13604" width="9" style="164" customWidth="1"/>
    <col min="13605" max="13605" width="9.83203125" style="164" customWidth="1"/>
    <col min="13606" max="13606" width="9" style="164" customWidth="1"/>
    <col min="13607" max="13795" width="9.33203125" style="164"/>
    <col min="13796" max="13796" width="13.5" style="164" customWidth="1"/>
    <col min="13797" max="13797" width="12.83203125" style="164" customWidth="1"/>
    <col min="13798" max="13798" width="11.1640625" style="164" customWidth="1"/>
    <col min="13799" max="13799" width="10.6640625" style="164" customWidth="1"/>
    <col min="13800" max="13800" width="8.5" style="164" customWidth="1"/>
    <col min="13801" max="13810" width="0" style="164" hidden="1" customWidth="1"/>
    <col min="13811" max="13811" width="12.5" style="164" customWidth="1"/>
    <col min="13812" max="13812" width="13.6640625" style="164" customWidth="1"/>
    <col min="13813" max="13816" width="0" style="164" hidden="1" customWidth="1"/>
    <col min="13817" max="13817" width="13.6640625" style="164" customWidth="1"/>
    <col min="13818" max="13818" width="12.5" style="164" customWidth="1"/>
    <col min="13819" max="13819" width="15.5" style="164" customWidth="1"/>
    <col min="13820" max="13820" width="13.6640625" style="164" customWidth="1"/>
    <col min="13821" max="13821" width="10.83203125" style="164" customWidth="1"/>
    <col min="13822" max="13822" width="10.33203125" style="164" customWidth="1"/>
    <col min="13823" max="13824" width="9.83203125" style="164" customWidth="1"/>
    <col min="13825" max="13825" width="10.83203125" style="164" customWidth="1"/>
    <col min="13826" max="13826" width="9.33203125" style="164" customWidth="1"/>
    <col min="13827" max="13829" width="9.83203125" style="164" customWidth="1"/>
    <col min="13830" max="13830" width="14.5" style="164" customWidth="1"/>
    <col min="13831" max="13831" width="18.1640625" style="164" customWidth="1"/>
    <col min="13832" max="13832" width="13.1640625" style="164" customWidth="1"/>
    <col min="13833" max="13833" width="13" style="164" customWidth="1"/>
    <col min="13834" max="13834" width="11" style="164" customWidth="1"/>
    <col min="13835" max="13839" width="0" style="164" hidden="1" customWidth="1"/>
    <col min="13840" max="13840" width="14.33203125" style="164" customWidth="1"/>
    <col min="13841" max="13843" width="0" style="164" hidden="1" customWidth="1"/>
    <col min="13844" max="13844" width="14.33203125" style="164" customWidth="1"/>
    <col min="13845" max="13847" width="0" style="164" hidden="1" customWidth="1"/>
    <col min="13848" max="13848" width="14.33203125" style="164" customWidth="1"/>
    <col min="13849" max="13851" width="0" style="164" hidden="1" customWidth="1"/>
    <col min="13852" max="13853" width="14.33203125" style="164" customWidth="1"/>
    <col min="13854" max="13854" width="14.1640625" style="164" customWidth="1"/>
    <col min="13855" max="13855" width="10.5" style="164" customWidth="1"/>
    <col min="13856" max="13856" width="10.1640625" style="164" customWidth="1"/>
    <col min="13857" max="13857" width="11.6640625" style="164" customWidth="1"/>
    <col min="13858" max="13858" width="9.83203125" style="164" customWidth="1"/>
    <col min="13859" max="13859" width="10.1640625" style="164" customWidth="1"/>
    <col min="13860" max="13860" width="9" style="164" customWidth="1"/>
    <col min="13861" max="13861" width="9.83203125" style="164" customWidth="1"/>
    <col min="13862" max="13862" width="9" style="164" customWidth="1"/>
    <col min="13863" max="14051" width="9.33203125" style="164"/>
    <col min="14052" max="14052" width="13.5" style="164" customWidth="1"/>
    <col min="14053" max="14053" width="12.83203125" style="164" customWidth="1"/>
    <col min="14054" max="14054" width="11.1640625" style="164" customWidth="1"/>
    <col min="14055" max="14055" width="10.6640625" style="164" customWidth="1"/>
    <col min="14056" max="14056" width="8.5" style="164" customWidth="1"/>
    <col min="14057" max="14066" width="0" style="164" hidden="1" customWidth="1"/>
    <col min="14067" max="14067" width="12.5" style="164" customWidth="1"/>
    <col min="14068" max="14068" width="13.6640625" style="164" customWidth="1"/>
    <col min="14069" max="14072" width="0" style="164" hidden="1" customWidth="1"/>
    <col min="14073" max="14073" width="13.6640625" style="164" customWidth="1"/>
    <col min="14074" max="14074" width="12.5" style="164" customWidth="1"/>
    <col min="14075" max="14075" width="15.5" style="164" customWidth="1"/>
    <col min="14076" max="14076" width="13.6640625" style="164" customWidth="1"/>
    <col min="14077" max="14077" width="10.83203125" style="164" customWidth="1"/>
    <col min="14078" max="14078" width="10.33203125" style="164" customWidth="1"/>
    <col min="14079" max="14080" width="9.83203125" style="164" customWidth="1"/>
    <col min="14081" max="14081" width="10.83203125" style="164" customWidth="1"/>
    <col min="14082" max="14082" width="9.33203125" style="164" customWidth="1"/>
    <col min="14083" max="14085" width="9.83203125" style="164" customWidth="1"/>
    <col min="14086" max="14086" width="14.5" style="164" customWidth="1"/>
    <col min="14087" max="14087" width="18.1640625" style="164" customWidth="1"/>
    <col min="14088" max="14088" width="13.1640625" style="164" customWidth="1"/>
    <col min="14089" max="14089" width="13" style="164" customWidth="1"/>
    <col min="14090" max="14090" width="11" style="164" customWidth="1"/>
    <col min="14091" max="14095" width="0" style="164" hidden="1" customWidth="1"/>
    <col min="14096" max="14096" width="14.33203125" style="164" customWidth="1"/>
    <col min="14097" max="14099" width="0" style="164" hidden="1" customWidth="1"/>
    <col min="14100" max="14100" width="14.33203125" style="164" customWidth="1"/>
    <col min="14101" max="14103" width="0" style="164" hidden="1" customWidth="1"/>
    <col min="14104" max="14104" width="14.33203125" style="164" customWidth="1"/>
    <col min="14105" max="14107" width="0" style="164" hidden="1" customWidth="1"/>
    <col min="14108" max="14109" width="14.33203125" style="164" customWidth="1"/>
    <col min="14110" max="14110" width="14.1640625" style="164" customWidth="1"/>
    <col min="14111" max="14111" width="10.5" style="164" customWidth="1"/>
    <col min="14112" max="14112" width="10.1640625" style="164" customWidth="1"/>
    <col min="14113" max="14113" width="11.6640625" style="164" customWidth="1"/>
    <col min="14114" max="14114" width="9.83203125" style="164" customWidth="1"/>
    <col min="14115" max="14115" width="10.1640625" style="164" customWidth="1"/>
    <col min="14116" max="14116" width="9" style="164" customWidth="1"/>
    <col min="14117" max="14117" width="9.83203125" style="164" customWidth="1"/>
    <col min="14118" max="14118" width="9" style="164" customWidth="1"/>
    <col min="14119" max="14307" width="9.33203125" style="164"/>
    <col min="14308" max="14308" width="13.5" style="164" customWidth="1"/>
    <col min="14309" max="14309" width="12.83203125" style="164" customWidth="1"/>
    <col min="14310" max="14310" width="11.1640625" style="164" customWidth="1"/>
    <col min="14311" max="14311" width="10.6640625" style="164" customWidth="1"/>
    <col min="14312" max="14312" width="8.5" style="164" customWidth="1"/>
    <col min="14313" max="14322" width="0" style="164" hidden="1" customWidth="1"/>
    <col min="14323" max="14323" width="12.5" style="164" customWidth="1"/>
    <col min="14324" max="14324" width="13.6640625" style="164" customWidth="1"/>
    <col min="14325" max="14328" width="0" style="164" hidden="1" customWidth="1"/>
    <col min="14329" max="14329" width="13.6640625" style="164" customWidth="1"/>
    <col min="14330" max="14330" width="12.5" style="164" customWidth="1"/>
    <col min="14331" max="14331" width="15.5" style="164" customWidth="1"/>
    <col min="14332" max="14332" width="13.6640625" style="164" customWidth="1"/>
    <col min="14333" max="14333" width="10.83203125" style="164" customWidth="1"/>
    <col min="14334" max="14334" width="10.33203125" style="164" customWidth="1"/>
    <col min="14335" max="14336" width="9.83203125" style="164" customWidth="1"/>
    <col min="14337" max="14337" width="10.83203125" style="164" customWidth="1"/>
    <col min="14338" max="14338" width="9.33203125" style="164" customWidth="1"/>
    <col min="14339" max="14341" width="9.83203125" style="164" customWidth="1"/>
    <col min="14342" max="14342" width="14.5" style="164" customWidth="1"/>
    <col min="14343" max="14343" width="18.1640625" style="164" customWidth="1"/>
    <col min="14344" max="14344" width="13.1640625" style="164" customWidth="1"/>
    <col min="14345" max="14345" width="13" style="164" customWidth="1"/>
    <col min="14346" max="14346" width="11" style="164" customWidth="1"/>
    <col min="14347" max="14351" width="0" style="164" hidden="1" customWidth="1"/>
    <col min="14352" max="14352" width="14.33203125" style="164" customWidth="1"/>
    <col min="14353" max="14355" width="0" style="164" hidden="1" customWidth="1"/>
    <col min="14356" max="14356" width="14.33203125" style="164" customWidth="1"/>
    <col min="14357" max="14359" width="0" style="164" hidden="1" customWidth="1"/>
    <col min="14360" max="14360" width="14.33203125" style="164" customWidth="1"/>
    <col min="14361" max="14363" width="0" style="164" hidden="1" customWidth="1"/>
    <col min="14364" max="14365" width="14.33203125" style="164" customWidth="1"/>
    <col min="14366" max="14366" width="14.1640625" style="164" customWidth="1"/>
    <col min="14367" max="14367" width="10.5" style="164" customWidth="1"/>
    <col min="14368" max="14368" width="10.1640625" style="164" customWidth="1"/>
    <col min="14369" max="14369" width="11.6640625" style="164" customWidth="1"/>
    <col min="14370" max="14370" width="9.83203125" style="164" customWidth="1"/>
    <col min="14371" max="14371" width="10.1640625" style="164" customWidth="1"/>
    <col min="14372" max="14372" width="9" style="164" customWidth="1"/>
    <col min="14373" max="14373" width="9.83203125" style="164" customWidth="1"/>
    <col min="14374" max="14374" width="9" style="164" customWidth="1"/>
    <col min="14375" max="14563" width="9.33203125" style="164"/>
    <col min="14564" max="14564" width="13.5" style="164" customWidth="1"/>
    <col min="14565" max="14565" width="12.83203125" style="164" customWidth="1"/>
    <col min="14566" max="14566" width="11.1640625" style="164" customWidth="1"/>
    <col min="14567" max="14567" width="10.6640625" style="164" customWidth="1"/>
    <col min="14568" max="14568" width="8.5" style="164" customWidth="1"/>
    <col min="14569" max="14578" width="0" style="164" hidden="1" customWidth="1"/>
    <col min="14579" max="14579" width="12.5" style="164" customWidth="1"/>
    <col min="14580" max="14580" width="13.6640625" style="164" customWidth="1"/>
    <col min="14581" max="14584" width="0" style="164" hidden="1" customWidth="1"/>
    <col min="14585" max="14585" width="13.6640625" style="164" customWidth="1"/>
    <col min="14586" max="14586" width="12.5" style="164" customWidth="1"/>
    <col min="14587" max="14587" width="15.5" style="164" customWidth="1"/>
    <col min="14588" max="14588" width="13.6640625" style="164" customWidth="1"/>
    <col min="14589" max="14589" width="10.83203125" style="164" customWidth="1"/>
    <col min="14590" max="14590" width="10.33203125" style="164" customWidth="1"/>
    <col min="14591" max="14592" width="9.83203125" style="164" customWidth="1"/>
    <col min="14593" max="14593" width="10.83203125" style="164" customWidth="1"/>
    <col min="14594" max="14594" width="9.33203125" style="164" customWidth="1"/>
    <col min="14595" max="14597" width="9.83203125" style="164" customWidth="1"/>
    <col min="14598" max="14598" width="14.5" style="164" customWidth="1"/>
    <col min="14599" max="14599" width="18.1640625" style="164" customWidth="1"/>
    <col min="14600" max="14600" width="13.1640625" style="164" customWidth="1"/>
    <col min="14601" max="14601" width="13" style="164" customWidth="1"/>
    <col min="14602" max="14602" width="11" style="164" customWidth="1"/>
    <col min="14603" max="14607" width="0" style="164" hidden="1" customWidth="1"/>
    <col min="14608" max="14608" width="14.33203125" style="164" customWidth="1"/>
    <col min="14609" max="14611" width="0" style="164" hidden="1" customWidth="1"/>
    <col min="14612" max="14612" width="14.33203125" style="164" customWidth="1"/>
    <col min="14613" max="14615" width="0" style="164" hidden="1" customWidth="1"/>
    <col min="14616" max="14616" width="14.33203125" style="164" customWidth="1"/>
    <col min="14617" max="14619" width="0" style="164" hidden="1" customWidth="1"/>
    <col min="14620" max="14621" width="14.33203125" style="164" customWidth="1"/>
    <col min="14622" max="14622" width="14.1640625" style="164" customWidth="1"/>
    <col min="14623" max="14623" width="10.5" style="164" customWidth="1"/>
    <col min="14624" max="14624" width="10.1640625" style="164" customWidth="1"/>
    <col min="14625" max="14625" width="11.6640625" style="164" customWidth="1"/>
    <col min="14626" max="14626" width="9.83203125" style="164" customWidth="1"/>
    <col min="14627" max="14627" width="10.1640625" style="164" customWidth="1"/>
    <col min="14628" max="14628" width="9" style="164" customWidth="1"/>
    <col min="14629" max="14629" width="9.83203125" style="164" customWidth="1"/>
    <col min="14630" max="14630" width="9" style="164" customWidth="1"/>
    <col min="14631" max="14819" width="9.33203125" style="164"/>
    <col min="14820" max="14820" width="13.5" style="164" customWidth="1"/>
    <col min="14821" max="14821" width="12.83203125" style="164" customWidth="1"/>
    <col min="14822" max="14822" width="11.1640625" style="164" customWidth="1"/>
    <col min="14823" max="14823" width="10.6640625" style="164" customWidth="1"/>
    <col min="14824" max="14824" width="8.5" style="164" customWidth="1"/>
    <col min="14825" max="14834" width="0" style="164" hidden="1" customWidth="1"/>
    <col min="14835" max="14835" width="12.5" style="164" customWidth="1"/>
    <col min="14836" max="14836" width="13.6640625" style="164" customWidth="1"/>
    <col min="14837" max="14840" width="0" style="164" hidden="1" customWidth="1"/>
    <col min="14841" max="14841" width="13.6640625" style="164" customWidth="1"/>
    <col min="14842" max="14842" width="12.5" style="164" customWidth="1"/>
    <col min="14843" max="14843" width="15.5" style="164" customWidth="1"/>
    <col min="14844" max="14844" width="13.6640625" style="164" customWidth="1"/>
    <col min="14845" max="14845" width="10.83203125" style="164" customWidth="1"/>
    <col min="14846" max="14846" width="10.33203125" style="164" customWidth="1"/>
    <col min="14847" max="14848" width="9.83203125" style="164" customWidth="1"/>
    <col min="14849" max="14849" width="10.83203125" style="164" customWidth="1"/>
    <col min="14850" max="14850" width="9.33203125" style="164" customWidth="1"/>
    <col min="14851" max="14853" width="9.83203125" style="164" customWidth="1"/>
    <col min="14854" max="14854" width="14.5" style="164" customWidth="1"/>
    <col min="14855" max="14855" width="18.1640625" style="164" customWidth="1"/>
    <col min="14856" max="14856" width="13.1640625" style="164" customWidth="1"/>
    <col min="14857" max="14857" width="13" style="164" customWidth="1"/>
    <col min="14858" max="14858" width="11" style="164" customWidth="1"/>
    <col min="14859" max="14863" width="0" style="164" hidden="1" customWidth="1"/>
    <col min="14864" max="14864" width="14.33203125" style="164" customWidth="1"/>
    <col min="14865" max="14867" width="0" style="164" hidden="1" customWidth="1"/>
    <col min="14868" max="14868" width="14.33203125" style="164" customWidth="1"/>
    <col min="14869" max="14871" width="0" style="164" hidden="1" customWidth="1"/>
    <col min="14872" max="14872" width="14.33203125" style="164" customWidth="1"/>
    <col min="14873" max="14875" width="0" style="164" hidden="1" customWidth="1"/>
    <col min="14876" max="14877" width="14.33203125" style="164" customWidth="1"/>
    <col min="14878" max="14878" width="14.1640625" style="164" customWidth="1"/>
    <col min="14879" max="14879" width="10.5" style="164" customWidth="1"/>
    <col min="14880" max="14880" width="10.1640625" style="164" customWidth="1"/>
    <col min="14881" max="14881" width="11.6640625" style="164" customWidth="1"/>
    <col min="14882" max="14882" width="9.83203125" style="164" customWidth="1"/>
    <col min="14883" max="14883" width="10.1640625" style="164" customWidth="1"/>
    <col min="14884" max="14884" width="9" style="164" customWidth="1"/>
    <col min="14885" max="14885" width="9.83203125" style="164" customWidth="1"/>
    <col min="14886" max="14886" width="9" style="164" customWidth="1"/>
    <col min="14887" max="15075" width="9.33203125" style="164"/>
    <col min="15076" max="15076" width="13.5" style="164" customWidth="1"/>
    <col min="15077" max="15077" width="12.83203125" style="164" customWidth="1"/>
    <col min="15078" max="15078" width="11.1640625" style="164" customWidth="1"/>
    <col min="15079" max="15079" width="10.6640625" style="164" customWidth="1"/>
    <col min="15080" max="15080" width="8.5" style="164" customWidth="1"/>
    <col min="15081" max="15090" width="0" style="164" hidden="1" customWidth="1"/>
    <col min="15091" max="15091" width="12.5" style="164" customWidth="1"/>
    <col min="15092" max="15092" width="13.6640625" style="164" customWidth="1"/>
    <col min="15093" max="15096" width="0" style="164" hidden="1" customWidth="1"/>
    <col min="15097" max="15097" width="13.6640625" style="164" customWidth="1"/>
    <col min="15098" max="15098" width="12.5" style="164" customWidth="1"/>
    <col min="15099" max="15099" width="15.5" style="164" customWidth="1"/>
    <col min="15100" max="15100" width="13.6640625" style="164" customWidth="1"/>
    <col min="15101" max="15101" width="10.83203125" style="164" customWidth="1"/>
    <col min="15102" max="15102" width="10.33203125" style="164" customWidth="1"/>
    <col min="15103" max="15104" width="9.83203125" style="164" customWidth="1"/>
    <col min="15105" max="15105" width="10.83203125" style="164" customWidth="1"/>
    <col min="15106" max="15106" width="9.33203125" style="164" customWidth="1"/>
    <col min="15107" max="15109" width="9.83203125" style="164" customWidth="1"/>
    <col min="15110" max="15110" width="14.5" style="164" customWidth="1"/>
    <col min="15111" max="15111" width="18.1640625" style="164" customWidth="1"/>
    <col min="15112" max="15112" width="13.1640625" style="164" customWidth="1"/>
    <col min="15113" max="15113" width="13" style="164" customWidth="1"/>
    <col min="15114" max="15114" width="11" style="164" customWidth="1"/>
    <col min="15115" max="15119" width="0" style="164" hidden="1" customWidth="1"/>
    <col min="15120" max="15120" width="14.33203125" style="164" customWidth="1"/>
    <col min="15121" max="15123" width="0" style="164" hidden="1" customWidth="1"/>
    <col min="15124" max="15124" width="14.33203125" style="164" customWidth="1"/>
    <col min="15125" max="15127" width="0" style="164" hidden="1" customWidth="1"/>
    <col min="15128" max="15128" width="14.33203125" style="164" customWidth="1"/>
    <col min="15129" max="15131" width="0" style="164" hidden="1" customWidth="1"/>
    <col min="15132" max="15133" width="14.33203125" style="164" customWidth="1"/>
    <col min="15134" max="15134" width="14.1640625" style="164" customWidth="1"/>
    <col min="15135" max="15135" width="10.5" style="164" customWidth="1"/>
    <col min="15136" max="15136" width="10.1640625" style="164" customWidth="1"/>
    <col min="15137" max="15137" width="11.6640625" style="164" customWidth="1"/>
    <col min="15138" max="15138" width="9.83203125" style="164" customWidth="1"/>
    <col min="15139" max="15139" width="10.1640625" style="164" customWidth="1"/>
    <col min="15140" max="15140" width="9" style="164" customWidth="1"/>
    <col min="15141" max="15141" width="9.83203125" style="164" customWidth="1"/>
    <col min="15142" max="15142" width="9" style="164" customWidth="1"/>
    <col min="15143" max="15331" width="9.33203125" style="164"/>
    <col min="15332" max="15332" width="13.5" style="164" customWidth="1"/>
    <col min="15333" max="15333" width="12.83203125" style="164" customWidth="1"/>
    <col min="15334" max="15334" width="11.1640625" style="164" customWidth="1"/>
    <col min="15335" max="15335" width="10.6640625" style="164" customWidth="1"/>
    <col min="15336" max="15336" width="8.5" style="164" customWidth="1"/>
    <col min="15337" max="15346" width="0" style="164" hidden="1" customWidth="1"/>
    <col min="15347" max="15347" width="12.5" style="164" customWidth="1"/>
    <col min="15348" max="15348" width="13.6640625" style="164" customWidth="1"/>
    <col min="15349" max="15352" width="0" style="164" hidden="1" customWidth="1"/>
    <col min="15353" max="15353" width="13.6640625" style="164" customWidth="1"/>
    <col min="15354" max="15354" width="12.5" style="164" customWidth="1"/>
    <col min="15355" max="15355" width="15.5" style="164" customWidth="1"/>
    <col min="15356" max="15356" width="13.6640625" style="164" customWidth="1"/>
    <col min="15357" max="15357" width="10.83203125" style="164" customWidth="1"/>
    <col min="15358" max="15358" width="10.33203125" style="164" customWidth="1"/>
    <col min="15359" max="15360" width="9.83203125" style="164" customWidth="1"/>
    <col min="15361" max="15361" width="10.83203125" style="164" customWidth="1"/>
    <col min="15362" max="15362" width="9.33203125" style="164" customWidth="1"/>
    <col min="15363" max="15365" width="9.83203125" style="164" customWidth="1"/>
    <col min="15366" max="15366" width="14.5" style="164" customWidth="1"/>
    <col min="15367" max="15367" width="18.1640625" style="164" customWidth="1"/>
    <col min="15368" max="15368" width="13.1640625" style="164" customWidth="1"/>
    <col min="15369" max="15369" width="13" style="164" customWidth="1"/>
    <col min="15370" max="15370" width="11" style="164" customWidth="1"/>
    <col min="15371" max="15375" width="0" style="164" hidden="1" customWidth="1"/>
    <col min="15376" max="15376" width="14.33203125" style="164" customWidth="1"/>
    <col min="15377" max="15379" width="0" style="164" hidden="1" customWidth="1"/>
    <col min="15380" max="15380" width="14.33203125" style="164" customWidth="1"/>
    <col min="15381" max="15383" width="0" style="164" hidden="1" customWidth="1"/>
    <col min="15384" max="15384" width="14.33203125" style="164" customWidth="1"/>
    <col min="15385" max="15387" width="0" style="164" hidden="1" customWidth="1"/>
    <col min="15388" max="15389" width="14.33203125" style="164" customWidth="1"/>
    <col min="15390" max="15390" width="14.1640625" style="164" customWidth="1"/>
    <col min="15391" max="15391" width="10.5" style="164" customWidth="1"/>
    <col min="15392" max="15392" width="10.1640625" style="164" customWidth="1"/>
    <col min="15393" max="15393" width="11.6640625" style="164" customWidth="1"/>
    <col min="15394" max="15394" width="9.83203125" style="164" customWidth="1"/>
    <col min="15395" max="15395" width="10.1640625" style="164" customWidth="1"/>
    <col min="15396" max="15396" width="9" style="164" customWidth="1"/>
    <col min="15397" max="15397" width="9.83203125" style="164" customWidth="1"/>
    <col min="15398" max="15398" width="9" style="164" customWidth="1"/>
    <col min="15399" max="15587" width="9.33203125" style="164"/>
    <col min="15588" max="15588" width="13.5" style="164" customWidth="1"/>
    <col min="15589" max="15589" width="12.83203125" style="164" customWidth="1"/>
    <col min="15590" max="15590" width="11.1640625" style="164" customWidth="1"/>
    <col min="15591" max="15591" width="10.6640625" style="164" customWidth="1"/>
    <col min="15592" max="15592" width="8.5" style="164" customWidth="1"/>
    <col min="15593" max="15602" width="0" style="164" hidden="1" customWidth="1"/>
    <col min="15603" max="15603" width="12.5" style="164" customWidth="1"/>
    <col min="15604" max="15604" width="13.6640625" style="164" customWidth="1"/>
    <col min="15605" max="15608" width="0" style="164" hidden="1" customWidth="1"/>
    <col min="15609" max="15609" width="13.6640625" style="164" customWidth="1"/>
    <col min="15610" max="15610" width="12.5" style="164" customWidth="1"/>
    <col min="15611" max="15611" width="15.5" style="164" customWidth="1"/>
    <col min="15612" max="15612" width="13.6640625" style="164" customWidth="1"/>
    <col min="15613" max="15613" width="10.83203125" style="164" customWidth="1"/>
    <col min="15614" max="15614" width="10.33203125" style="164" customWidth="1"/>
    <col min="15615" max="15616" width="9.83203125" style="164" customWidth="1"/>
    <col min="15617" max="15617" width="10.83203125" style="164" customWidth="1"/>
    <col min="15618" max="15618" width="9.33203125" style="164" customWidth="1"/>
    <col min="15619" max="15621" width="9.83203125" style="164" customWidth="1"/>
    <col min="15622" max="15622" width="14.5" style="164" customWidth="1"/>
    <col min="15623" max="15623" width="18.1640625" style="164" customWidth="1"/>
    <col min="15624" max="15624" width="13.1640625" style="164" customWidth="1"/>
    <col min="15625" max="15625" width="13" style="164" customWidth="1"/>
    <col min="15626" max="15626" width="11" style="164" customWidth="1"/>
    <col min="15627" max="15631" width="0" style="164" hidden="1" customWidth="1"/>
    <col min="15632" max="15632" width="14.33203125" style="164" customWidth="1"/>
    <col min="15633" max="15635" width="0" style="164" hidden="1" customWidth="1"/>
    <col min="15636" max="15636" width="14.33203125" style="164" customWidth="1"/>
    <col min="15637" max="15639" width="0" style="164" hidden="1" customWidth="1"/>
    <col min="15640" max="15640" width="14.33203125" style="164" customWidth="1"/>
    <col min="15641" max="15643" width="0" style="164" hidden="1" customWidth="1"/>
    <col min="15644" max="15645" width="14.33203125" style="164" customWidth="1"/>
    <col min="15646" max="15646" width="14.1640625" style="164" customWidth="1"/>
    <col min="15647" max="15647" width="10.5" style="164" customWidth="1"/>
    <col min="15648" max="15648" width="10.1640625" style="164" customWidth="1"/>
    <col min="15649" max="15649" width="11.6640625" style="164" customWidth="1"/>
    <col min="15650" max="15650" width="9.83203125" style="164" customWidth="1"/>
    <col min="15651" max="15651" width="10.1640625" style="164" customWidth="1"/>
    <col min="15652" max="15652" width="9" style="164" customWidth="1"/>
    <col min="15653" max="15653" width="9.83203125" style="164" customWidth="1"/>
    <col min="15654" max="15654" width="9" style="164" customWidth="1"/>
    <col min="15655" max="15843" width="9.33203125" style="164"/>
    <col min="15844" max="15844" width="13.5" style="164" customWidth="1"/>
    <col min="15845" max="15845" width="12.83203125" style="164" customWidth="1"/>
    <col min="15846" max="15846" width="11.1640625" style="164" customWidth="1"/>
    <col min="15847" max="15847" width="10.6640625" style="164" customWidth="1"/>
    <col min="15848" max="15848" width="8.5" style="164" customWidth="1"/>
    <col min="15849" max="15858" width="0" style="164" hidden="1" customWidth="1"/>
    <col min="15859" max="15859" width="12.5" style="164" customWidth="1"/>
    <col min="15860" max="15860" width="13.6640625" style="164" customWidth="1"/>
    <col min="15861" max="15864" width="0" style="164" hidden="1" customWidth="1"/>
    <col min="15865" max="15865" width="13.6640625" style="164" customWidth="1"/>
    <col min="15866" max="15866" width="12.5" style="164" customWidth="1"/>
    <col min="15867" max="15867" width="15.5" style="164" customWidth="1"/>
    <col min="15868" max="15868" width="13.6640625" style="164" customWidth="1"/>
    <col min="15869" max="15869" width="10.83203125" style="164" customWidth="1"/>
    <col min="15870" max="15870" width="10.33203125" style="164" customWidth="1"/>
    <col min="15871" max="15872" width="9.83203125" style="164" customWidth="1"/>
    <col min="15873" max="15873" width="10.83203125" style="164" customWidth="1"/>
    <col min="15874" max="15874" width="9.33203125" style="164" customWidth="1"/>
    <col min="15875" max="15877" width="9.83203125" style="164" customWidth="1"/>
    <col min="15878" max="15878" width="14.5" style="164" customWidth="1"/>
    <col min="15879" max="15879" width="18.1640625" style="164" customWidth="1"/>
    <col min="15880" max="15880" width="13.1640625" style="164" customWidth="1"/>
    <col min="15881" max="15881" width="13" style="164" customWidth="1"/>
    <col min="15882" max="15882" width="11" style="164" customWidth="1"/>
    <col min="15883" max="15887" width="0" style="164" hidden="1" customWidth="1"/>
    <col min="15888" max="15888" width="14.33203125" style="164" customWidth="1"/>
    <col min="15889" max="15891" width="0" style="164" hidden="1" customWidth="1"/>
    <col min="15892" max="15892" width="14.33203125" style="164" customWidth="1"/>
    <col min="15893" max="15895" width="0" style="164" hidden="1" customWidth="1"/>
    <col min="15896" max="15896" width="14.33203125" style="164" customWidth="1"/>
    <col min="15897" max="15899" width="0" style="164" hidden="1" customWidth="1"/>
    <col min="15900" max="15901" width="14.33203125" style="164" customWidth="1"/>
    <col min="15902" max="15902" width="14.1640625" style="164" customWidth="1"/>
    <col min="15903" max="15903" width="10.5" style="164" customWidth="1"/>
    <col min="15904" max="15904" width="10.1640625" style="164" customWidth="1"/>
    <col min="15905" max="15905" width="11.6640625" style="164" customWidth="1"/>
    <col min="15906" max="15906" width="9.83203125" style="164" customWidth="1"/>
    <col min="15907" max="15907" width="10.1640625" style="164" customWidth="1"/>
    <col min="15908" max="15908" width="9" style="164" customWidth="1"/>
    <col min="15909" max="15909" width="9.83203125" style="164" customWidth="1"/>
    <col min="15910" max="15910" width="9" style="164" customWidth="1"/>
    <col min="15911" max="16099" width="9.33203125" style="164"/>
    <col min="16100" max="16100" width="13.5" style="164" customWidth="1"/>
    <col min="16101" max="16101" width="12.83203125" style="164" customWidth="1"/>
    <col min="16102" max="16102" width="11.1640625" style="164" customWidth="1"/>
    <col min="16103" max="16103" width="10.6640625" style="164" customWidth="1"/>
    <col min="16104" max="16104" width="8.5" style="164" customWidth="1"/>
    <col min="16105" max="16114" width="0" style="164" hidden="1" customWidth="1"/>
    <col min="16115" max="16115" width="12.5" style="164" customWidth="1"/>
    <col min="16116" max="16116" width="13.6640625" style="164" customWidth="1"/>
    <col min="16117" max="16120" width="0" style="164" hidden="1" customWidth="1"/>
    <col min="16121" max="16121" width="13.6640625" style="164" customWidth="1"/>
    <col min="16122" max="16122" width="12.5" style="164" customWidth="1"/>
    <col min="16123" max="16123" width="15.5" style="164" customWidth="1"/>
    <col min="16124" max="16124" width="13.6640625" style="164" customWidth="1"/>
    <col min="16125" max="16125" width="10.83203125" style="164" customWidth="1"/>
    <col min="16126" max="16126" width="10.33203125" style="164" customWidth="1"/>
    <col min="16127" max="16128" width="9.83203125" style="164" customWidth="1"/>
    <col min="16129" max="16129" width="10.83203125" style="164" customWidth="1"/>
    <col min="16130" max="16130" width="9.33203125" style="164" customWidth="1"/>
    <col min="16131" max="16133" width="9.83203125" style="164" customWidth="1"/>
    <col min="16134" max="16134" width="14.5" style="164" customWidth="1"/>
    <col min="16135" max="16135" width="18.1640625" style="164" customWidth="1"/>
    <col min="16136" max="16136" width="13.1640625" style="164" customWidth="1"/>
    <col min="16137" max="16137" width="13" style="164" customWidth="1"/>
    <col min="16138" max="16138" width="11" style="164" customWidth="1"/>
    <col min="16139" max="16143" width="0" style="164" hidden="1" customWidth="1"/>
    <col min="16144" max="16144" width="14.33203125" style="164" customWidth="1"/>
    <col min="16145" max="16147" width="0" style="164" hidden="1" customWidth="1"/>
    <col min="16148" max="16148" width="14.33203125" style="164" customWidth="1"/>
    <col min="16149" max="16151" width="0" style="164" hidden="1" customWidth="1"/>
    <col min="16152" max="16152" width="14.33203125" style="164" customWidth="1"/>
    <col min="16153" max="16155" width="0" style="164" hidden="1" customWidth="1"/>
    <col min="16156" max="16157" width="14.33203125" style="164" customWidth="1"/>
    <col min="16158" max="16158" width="14.1640625" style="164" customWidth="1"/>
    <col min="16159" max="16159" width="10.5" style="164" customWidth="1"/>
    <col min="16160" max="16160" width="10.1640625" style="164" customWidth="1"/>
    <col min="16161" max="16161" width="11.6640625" style="164" customWidth="1"/>
    <col min="16162" max="16162" width="9.83203125" style="164" customWidth="1"/>
    <col min="16163" max="16163" width="10.1640625" style="164" customWidth="1"/>
    <col min="16164" max="16164" width="9" style="164" customWidth="1"/>
    <col min="16165" max="16165" width="9.83203125" style="164" customWidth="1"/>
    <col min="16166" max="16166" width="9" style="164" customWidth="1"/>
    <col min="16167" max="16384" width="9.33203125" style="164"/>
  </cols>
  <sheetData>
    <row r="1" spans="1:112" ht="16.5" customHeight="1" x14ac:dyDescent="0.2">
      <c r="B1" s="165" t="s">
        <v>320</v>
      </c>
      <c r="C1" s="166" t="s">
        <v>388</v>
      </c>
      <c r="D1" s="166"/>
    </row>
    <row r="2" spans="1:112" ht="16.5" customHeight="1" x14ac:dyDescent="0.25">
      <c r="B2" s="165" t="s">
        <v>134</v>
      </c>
      <c r="C2" s="173" t="s">
        <v>257</v>
      </c>
    </row>
    <row r="3" spans="1:112" s="174" customFormat="1" ht="16.5" customHeight="1" x14ac:dyDescent="0.2">
      <c r="B3" s="175"/>
      <c r="G3" s="176" t="s">
        <v>135</v>
      </c>
      <c r="H3" s="177"/>
      <c r="I3" s="178"/>
      <c r="J3" s="177"/>
      <c r="K3" s="179">
        <v>10</v>
      </c>
      <c r="L3" s="180"/>
      <c r="P3" s="181"/>
      <c r="T3" s="182"/>
      <c r="U3" s="182"/>
      <c r="V3" s="182"/>
      <c r="W3" s="182"/>
      <c r="X3" s="183"/>
      <c r="Y3" s="184"/>
      <c r="Z3" s="182"/>
      <c r="AA3" s="182"/>
      <c r="AB3" s="185"/>
      <c r="AE3" s="181"/>
      <c r="AL3" s="182"/>
      <c r="AO3" s="182"/>
      <c r="AP3" s="182"/>
      <c r="CN3" s="186"/>
    </row>
    <row r="4" spans="1:112" s="187" customFormat="1" ht="16.5" customHeight="1" thickBot="1" x14ac:dyDescent="0.25">
      <c r="B4" s="667" t="s">
        <v>321</v>
      </c>
      <c r="C4" s="667"/>
      <c r="D4" s="667"/>
      <c r="E4" s="667"/>
      <c r="F4" s="174"/>
      <c r="G4" s="188" t="s">
        <v>322</v>
      </c>
      <c r="H4" s="189"/>
      <c r="I4" s="189"/>
      <c r="J4" s="189"/>
      <c r="K4" s="190" t="s">
        <v>323</v>
      </c>
      <c r="L4" s="191"/>
      <c r="M4" s="174"/>
      <c r="N4" s="192"/>
      <c r="P4" s="193"/>
      <c r="Q4" s="192"/>
      <c r="R4" s="192"/>
      <c r="S4" s="192"/>
      <c r="T4" s="194"/>
      <c r="U4" s="194"/>
      <c r="V4" s="194"/>
      <c r="W4" s="194"/>
      <c r="X4" s="195"/>
      <c r="Y4" s="196"/>
      <c r="Z4" s="194"/>
      <c r="AA4" s="194"/>
      <c r="AB4" s="197"/>
      <c r="AE4" s="193"/>
      <c r="AL4" s="194"/>
      <c r="AO4" s="194"/>
      <c r="AP4" s="194"/>
      <c r="CN4" s="198"/>
    </row>
    <row r="5" spans="1:112" s="187" customFormat="1" ht="52.5" customHeight="1" thickBot="1" x14ac:dyDescent="0.25">
      <c r="B5" s="668"/>
      <c r="C5" s="669"/>
      <c r="D5" s="669"/>
      <c r="E5" s="670"/>
      <c r="F5" s="174"/>
      <c r="G5" s="671" t="s">
        <v>324</v>
      </c>
      <c r="H5" s="672"/>
      <c r="I5" s="672"/>
      <c r="J5" s="199"/>
      <c r="K5" s="190" t="s">
        <v>136</v>
      </c>
      <c r="L5" s="191"/>
      <c r="M5" s="182"/>
      <c r="P5" s="193"/>
      <c r="T5" s="194"/>
      <c r="U5" s="194"/>
      <c r="V5" s="194"/>
      <c r="W5" s="194"/>
      <c r="X5" s="195"/>
      <c r="Y5" s="196"/>
      <c r="Z5" s="194"/>
      <c r="AA5" s="194"/>
      <c r="AB5" s="197"/>
      <c r="AE5" s="193"/>
      <c r="AK5" s="200"/>
      <c r="AL5" s="194"/>
      <c r="AO5" s="194"/>
      <c r="AP5" s="194"/>
      <c r="CN5" s="198"/>
    </row>
    <row r="6" spans="1:112" s="187" customFormat="1" ht="16.5" customHeight="1" x14ac:dyDescent="0.2">
      <c r="B6" s="201" t="s">
        <v>137</v>
      </c>
      <c r="C6" s="202">
        <v>1420.65</v>
      </c>
      <c r="D6" s="203" t="s">
        <v>138</v>
      </c>
      <c r="E6" s="204" t="s">
        <v>139</v>
      </c>
      <c r="F6" s="205"/>
      <c r="G6" s="188" t="s">
        <v>325</v>
      </c>
      <c r="H6" s="189"/>
      <c r="I6" s="189"/>
      <c r="J6" s="189"/>
      <c r="K6" s="206">
        <v>0.6</v>
      </c>
      <c r="L6" s="207"/>
      <c r="M6" s="182"/>
      <c r="P6" s="208"/>
      <c r="T6" s="194"/>
      <c r="U6" s="194"/>
      <c r="V6" s="194"/>
      <c r="W6" s="194"/>
      <c r="X6" s="195"/>
      <c r="Y6" s="196"/>
      <c r="Z6" s="194"/>
      <c r="AA6" s="194"/>
      <c r="AB6" s="197"/>
      <c r="AE6" s="193"/>
      <c r="AL6" s="194"/>
      <c r="AO6" s="194"/>
      <c r="AP6" s="194"/>
      <c r="CN6" s="198"/>
    </row>
    <row r="7" spans="1:112" s="187" customFormat="1" ht="16.5" customHeight="1" x14ac:dyDescent="0.2">
      <c r="B7" s="209" t="s">
        <v>140</v>
      </c>
      <c r="C7" s="399">
        <v>0.18</v>
      </c>
      <c r="D7" s="210" t="s">
        <v>141</v>
      </c>
      <c r="E7" s="211">
        <v>13</v>
      </c>
      <c r="F7" s="205"/>
      <c r="G7" s="188" t="s">
        <v>326</v>
      </c>
      <c r="H7" s="189"/>
      <c r="I7" s="189"/>
      <c r="J7" s="189"/>
      <c r="K7" s="190" t="s">
        <v>142</v>
      </c>
      <c r="L7" s="207"/>
      <c r="M7" s="212"/>
      <c r="P7" s="193"/>
      <c r="T7" s="194"/>
      <c r="U7" s="194"/>
      <c r="V7" s="194"/>
      <c r="W7" s="194"/>
      <c r="X7" s="195"/>
      <c r="Y7" s="196"/>
      <c r="Z7" s="194"/>
      <c r="AA7" s="194"/>
      <c r="AB7" s="197"/>
      <c r="AE7" s="193"/>
      <c r="AL7" s="194"/>
      <c r="AO7" s="194"/>
      <c r="AP7" s="194"/>
      <c r="CN7" s="198"/>
    </row>
    <row r="8" spans="1:112" s="187" customFormat="1" ht="16.5" customHeight="1" thickBot="1" x14ac:dyDescent="0.25">
      <c r="B8" s="213" t="s">
        <v>143</v>
      </c>
      <c r="C8" s="214">
        <v>10</v>
      </c>
      <c r="D8" s="215" t="s">
        <v>144</v>
      </c>
      <c r="E8" s="216">
        <v>0.82699999999999996</v>
      </c>
      <c r="F8" s="205"/>
      <c r="G8" s="217" t="s">
        <v>327</v>
      </c>
      <c r="H8" s="218"/>
      <c r="I8" s="218"/>
      <c r="J8" s="218"/>
      <c r="K8" s="219" t="s">
        <v>328</v>
      </c>
      <c r="L8" s="220"/>
      <c r="M8" s="182"/>
      <c r="P8" s="193"/>
      <c r="T8" s="194"/>
      <c r="U8" s="194"/>
      <c r="V8" s="194"/>
      <c r="W8" s="194"/>
      <c r="X8" s="195"/>
      <c r="Y8" s="196"/>
      <c r="Z8" s="194"/>
      <c r="AA8" s="194"/>
      <c r="AB8" s="197"/>
      <c r="AE8" s="193"/>
      <c r="AL8" s="194"/>
      <c r="AO8" s="194"/>
      <c r="AP8" s="194"/>
      <c r="CN8" s="198"/>
    </row>
    <row r="9" spans="1:112" s="221" customFormat="1" ht="16.5" customHeight="1" thickBot="1" x14ac:dyDescent="0.25">
      <c r="B9" s="164"/>
      <c r="C9" s="164"/>
      <c r="D9" s="222"/>
      <c r="E9" s="223"/>
      <c r="F9" s="164"/>
      <c r="G9" s="164"/>
      <c r="H9" s="164"/>
      <c r="I9" s="164"/>
      <c r="J9" s="224"/>
      <c r="P9" s="225"/>
      <c r="T9" s="226"/>
      <c r="U9" s="226"/>
      <c r="V9" s="226"/>
      <c r="W9" s="226"/>
      <c r="X9" s="227"/>
      <c r="Y9" s="228"/>
      <c r="Z9" s="226"/>
      <c r="AA9" s="226"/>
      <c r="AB9" s="229"/>
      <c r="AE9" s="225"/>
      <c r="AL9" s="226"/>
      <c r="AO9" s="226"/>
      <c r="AP9" s="226"/>
      <c r="CN9" s="230"/>
    </row>
    <row r="10" spans="1:112" s="231" customFormat="1" ht="34.5" customHeight="1" thickBot="1" x14ac:dyDescent="0.25">
      <c r="B10" s="673" t="s">
        <v>545</v>
      </c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4"/>
      <c r="Y10" s="674"/>
      <c r="Z10" s="674"/>
      <c r="AA10" s="674"/>
      <c r="AB10" s="674"/>
      <c r="AC10" s="674"/>
      <c r="AD10" s="674"/>
      <c r="AE10" s="674"/>
      <c r="AF10" s="674"/>
      <c r="AG10" s="674"/>
      <c r="AH10" s="674"/>
      <c r="AI10" s="674"/>
      <c r="AJ10" s="674"/>
      <c r="AK10" s="674"/>
      <c r="AL10" s="674"/>
      <c r="AM10" s="674"/>
      <c r="AN10" s="674"/>
      <c r="AO10" s="674"/>
      <c r="AP10" s="674"/>
      <c r="AQ10" s="674"/>
      <c r="AR10" s="674"/>
      <c r="AS10" s="674"/>
      <c r="AT10" s="675"/>
      <c r="AV10" s="678" t="s">
        <v>450</v>
      </c>
      <c r="AW10" s="679"/>
      <c r="AX10" s="679"/>
      <c r="AY10" s="679"/>
      <c r="AZ10" s="679"/>
      <c r="BA10" s="679"/>
      <c r="BB10" s="679"/>
      <c r="BC10" s="679"/>
      <c r="BD10" s="679"/>
      <c r="BE10" s="679"/>
      <c r="BF10" s="679"/>
      <c r="BG10" s="679"/>
      <c r="BH10" s="679"/>
      <c r="BI10" s="679"/>
      <c r="BJ10" s="679"/>
      <c r="BK10" s="679"/>
      <c r="BL10" s="679"/>
      <c r="BM10" s="679"/>
      <c r="BN10" s="679"/>
      <c r="BO10" s="679"/>
      <c r="BP10" s="679"/>
      <c r="BQ10" s="679"/>
      <c r="BR10" s="679"/>
      <c r="BS10" s="679"/>
      <c r="BT10" s="679"/>
      <c r="BU10" s="679"/>
      <c r="BV10" s="679"/>
      <c r="BW10" s="679"/>
      <c r="BX10" s="679"/>
      <c r="BY10" s="679"/>
      <c r="BZ10" s="679"/>
      <c r="CA10" s="679"/>
      <c r="CB10" s="679"/>
      <c r="CC10" s="679"/>
      <c r="CD10" s="679"/>
      <c r="CE10" s="679"/>
      <c r="CF10" s="679"/>
      <c r="CG10" s="679"/>
      <c r="CH10" s="679"/>
      <c r="CI10" s="679"/>
      <c r="CJ10" s="679"/>
      <c r="CK10" s="679"/>
      <c r="CL10" s="679"/>
      <c r="CM10" s="679"/>
      <c r="CN10" s="679"/>
      <c r="CO10" s="679"/>
      <c r="CP10" s="679"/>
      <c r="CQ10" s="679"/>
      <c r="CR10" s="679"/>
      <c r="CS10" s="679"/>
      <c r="CT10" s="679"/>
      <c r="CU10" s="679"/>
      <c r="CV10" s="679"/>
      <c r="CW10" s="679"/>
      <c r="CX10" s="679"/>
      <c r="CY10" s="679"/>
      <c r="CZ10" s="679"/>
      <c r="DA10" s="679"/>
      <c r="DB10" s="679"/>
      <c r="DC10" s="679"/>
      <c r="DD10" s="679"/>
      <c r="DE10" s="679"/>
      <c r="DF10" s="679"/>
      <c r="DG10" s="679"/>
      <c r="DH10" s="680"/>
    </row>
    <row r="11" spans="1:112" s="232" customFormat="1" ht="39.75" customHeight="1" x14ac:dyDescent="0.2">
      <c r="B11" s="681" t="s">
        <v>145</v>
      </c>
      <c r="C11" s="683" t="s">
        <v>329</v>
      </c>
      <c r="D11" s="652" t="s">
        <v>330</v>
      </c>
      <c r="E11" s="653"/>
      <c r="F11" s="652" t="s">
        <v>331</v>
      </c>
      <c r="G11" s="652" t="s">
        <v>332</v>
      </c>
      <c r="H11" s="652" t="s">
        <v>332</v>
      </c>
      <c r="I11" s="652" t="s">
        <v>333</v>
      </c>
      <c r="J11" s="652" t="s">
        <v>334</v>
      </c>
      <c r="K11" s="652" t="s">
        <v>335</v>
      </c>
      <c r="L11" s="658" t="s">
        <v>336</v>
      </c>
      <c r="M11" s="652" t="s">
        <v>337</v>
      </c>
      <c r="N11" s="652" t="s">
        <v>338</v>
      </c>
      <c r="O11" s="652" t="s">
        <v>339</v>
      </c>
      <c r="P11" s="656" t="s">
        <v>340</v>
      </c>
      <c r="Q11" s="652" t="s">
        <v>341</v>
      </c>
      <c r="R11" s="652" t="s">
        <v>342</v>
      </c>
      <c r="S11" s="652" t="s">
        <v>343</v>
      </c>
      <c r="T11" s="652" t="s">
        <v>344</v>
      </c>
      <c r="U11" s="652" t="s">
        <v>345</v>
      </c>
      <c r="V11" s="658" t="s">
        <v>346</v>
      </c>
      <c r="W11" s="658" t="s">
        <v>347</v>
      </c>
      <c r="X11" s="658" t="s">
        <v>348</v>
      </c>
      <c r="Y11" s="684" t="s">
        <v>349</v>
      </c>
      <c r="Z11" s="658" t="s">
        <v>350</v>
      </c>
      <c r="AA11" s="652" t="s">
        <v>351</v>
      </c>
      <c r="AB11" s="676" t="s">
        <v>352</v>
      </c>
      <c r="AC11" s="652" t="s">
        <v>146</v>
      </c>
      <c r="AD11" s="652" t="s">
        <v>147</v>
      </c>
      <c r="AE11" s="656" t="s">
        <v>353</v>
      </c>
      <c r="AF11" s="658" t="s">
        <v>354</v>
      </c>
      <c r="AG11" s="652" t="s">
        <v>149</v>
      </c>
      <c r="AH11" s="652" t="s">
        <v>355</v>
      </c>
      <c r="AI11" s="652" t="s">
        <v>356</v>
      </c>
      <c r="AJ11" s="652" t="s">
        <v>357</v>
      </c>
      <c r="AK11" s="652" t="s">
        <v>358</v>
      </c>
      <c r="AL11" s="653"/>
      <c r="AM11" s="660" t="s">
        <v>359</v>
      </c>
      <c r="AN11" s="661"/>
      <c r="AO11" s="662" t="s">
        <v>360</v>
      </c>
      <c r="AP11" s="663"/>
      <c r="AQ11" s="664" t="s">
        <v>361</v>
      </c>
      <c r="AR11" s="665"/>
      <c r="AS11" s="652" t="s">
        <v>362</v>
      </c>
      <c r="AT11" s="666"/>
      <c r="AU11" s="654"/>
      <c r="AV11" s="649" t="s">
        <v>150</v>
      </c>
      <c r="AW11" s="641" t="s">
        <v>151</v>
      </c>
      <c r="AX11" s="401"/>
      <c r="AY11" s="648" t="s">
        <v>152</v>
      </c>
      <c r="AZ11" s="648"/>
      <c r="BA11" s="648"/>
      <c r="BB11" s="648"/>
      <c r="BC11" s="651" t="s">
        <v>153</v>
      </c>
      <c r="BD11" s="651"/>
      <c r="BE11" s="645" t="s">
        <v>154</v>
      </c>
      <c r="BF11" s="645" t="s">
        <v>155</v>
      </c>
      <c r="BG11" s="645" t="s">
        <v>156</v>
      </c>
      <c r="BH11" s="648" t="s">
        <v>157</v>
      </c>
      <c r="BI11" s="648"/>
      <c r="BJ11" s="648" t="s">
        <v>158</v>
      </c>
      <c r="BK11" s="648"/>
      <c r="BL11" s="648" t="s">
        <v>159</v>
      </c>
      <c r="BM11" s="648"/>
      <c r="BN11" s="648"/>
      <c r="BO11" s="648"/>
      <c r="BP11" s="648"/>
      <c r="BQ11" s="648"/>
      <c r="BR11" s="648"/>
      <c r="BS11" s="648"/>
      <c r="BT11" s="648"/>
      <c r="BU11" s="648"/>
      <c r="BV11" s="648"/>
      <c r="BW11" s="648"/>
      <c r="BX11" s="648" t="s">
        <v>160</v>
      </c>
      <c r="BY11" s="648"/>
      <c r="BZ11" s="648"/>
      <c r="CA11" s="648"/>
      <c r="CB11" s="648"/>
      <c r="CC11" s="648" t="s">
        <v>161</v>
      </c>
      <c r="CD11" s="648"/>
      <c r="CE11" s="648"/>
      <c r="CF11" s="648"/>
      <c r="CG11" s="648"/>
      <c r="CH11" s="648"/>
      <c r="CI11" s="648" t="s">
        <v>162</v>
      </c>
      <c r="CJ11" s="648"/>
      <c r="CK11" s="648" t="s">
        <v>163</v>
      </c>
      <c r="CL11" s="648"/>
      <c r="CM11" s="648"/>
      <c r="CN11" s="648"/>
      <c r="CO11" s="648"/>
      <c r="CP11" s="648" t="s">
        <v>164</v>
      </c>
      <c r="CQ11" s="648"/>
      <c r="CR11" s="648"/>
      <c r="CS11" s="648"/>
      <c r="CT11" s="648"/>
      <c r="CU11" s="648"/>
      <c r="CV11" s="648"/>
      <c r="CW11" s="648"/>
      <c r="CX11" s="648"/>
      <c r="CY11" s="648"/>
      <c r="CZ11" s="648"/>
      <c r="DA11" s="648"/>
      <c r="DB11" s="641" t="s">
        <v>165</v>
      </c>
      <c r="DC11" s="641" t="s">
        <v>166</v>
      </c>
      <c r="DD11" s="641" t="s">
        <v>167</v>
      </c>
      <c r="DE11" s="641" t="s">
        <v>168</v>
      </c>
      <c r="DF11" s="641" t="s">
        <v>169</v>
      </c>
      <c r="DG11" s="641" t="s">
        <v>170</v>
      </c>
      <c r="DH11" s="643" t="s">
        <v>171</v>
      </c>
    </row>
    <row r="12" spans="1:112" s="227" customFormat="1" ht="84" customHeight="1" x14ac:dyDescent="0.2">
      <c r="B12" s="682"/>
      <c r="C12" s="653"/>
      <c r="D12" s="233" t="s">
        <v>172</v>
      </c>
      <c r="E12" s="233" t="s">
        <v>173</v>
      </c>
      <c r="F12" s="653"/>
      <c r="G12" s="653"/>
      <c r="H12" s="652"/>
      <c r="I12" s="653"/>
      <c r="J12" s="653"/>
      <c r="K12" s="653"/>
      <c r="L12" s="659"/>
      <c r="M12" s="653"/>
      <c r="N12" s="653"/>
      <c r="O12" s="653"/>
      <c r="P12" s="657"/>
      <c r="Q12" s="653"/>
      <c r="R12" s="653"/>
      <c r="S12" s="653"/>
      <c r="T12" s="653"/>
      <c r="U12" s="653"/>
      <c r="V12" s="659"/>
      <c r="W12" s="659"/>
      <c r="X12" s="659"/>
      <c r="Y12" s="685"/>
      <c r="Z12" s="659"/>
      <c r="AA12" s="653"/>
      <c r="AB12" s="677"/>
      <c r="AC12" s="653"/>
      <c r="AD12" s="653"/>
      <c r="AE12" s="657"/>
      <c r="AF12" s="659"/>
      <c r="AG12" s="653"/>
      <c r="AH12" s="653"/>
      <c r="AI12" s="653"/>
      <c r="AJ12" s="653"/>
      <c r="AK12" s="234" t="s">
        <v>363</v>
      </c>
      <c r="AL12" s="234" t="s">
        <v>364</v>
      </c>
      <c r="AM12" s="234" t="s">
        <v>363</v>
      </c>
      <c r="AN12" s="234" t="s">
        <v>364</v>
      </c>
      <c r="AO12" s="235" t="s">
        <v>363</v>
      </c>
      <c r="AP12" s="235" t="s">
        <v>364</v>
      </c>
      <c r="AQ12" s="236" t="s">
        <v>363</v>
      </c>
      <c r="AR12" s="236" t="s">
        <v>364</v>
      </c>
      <c r="AS12" s="234" t="s">
        <v>363</v>
      </c>
      <c r="AT12" s="237" t="s">
        <v>364</v>
      </c>
      <c r="AU12" s="655"/>
      <c r="AV12" s="650"/>
      <c r="AW12" s="642"/>
      <c r="AX12" s="238" t="s">
        <v>365</v>
      </c>
      <c r="AY12" s="238" t="s">
        <v>174</v>
      </c>
      <c r="AZ12" s="402" t="s">
        <v>366</v>
      </c>
      <c r="BA12" s="402" t="s">
        <v>175</v>
      </c>
      <c r="BB12" s="402" t="s">
        <v>176</v>
      </c>
      <c r="BC12" s="402" t="s">
        <v>177</v>
      </c>
      <c r="BD12" s="402" t="s">
        <v>178</v>
      </c>
      <c r="BE12" s="646"/>
      <c r="BF12" s="646"/>
      <c r="BG12" s="646"/>
      <c r="BH12" s="238" t="s">
        <v>179</v>
      </c>
      <c r="BI12" s="402" t="s">
        <v>180</v>
      </c>
      <c r="BJ12" s="402" t="s">
        <v>181</v>
      </c>
      <c r="BK12" s="402" t="s">
        <v>182</v>
      </c>
      <c r="BL12" s="402" t="s">
        <v>183</v>
      </c>
      <c r="BM12" s="402" t="s">
        <v>184</v>
      </c>
      <c r="BN12" s="402" t="s">
        <v>185</v>
      </c>
      <c r="BO12" s="402" t="s">
        <v>186</v>
      </c>
      <c r="BP12" s="402" t="s">
        <v>187</v>
      </c>
      <c r="BQ12" s="402" t="s">
        <v>188</v>
      </c>
      <c r="BR12" s="402" t="s">
        <v>189</v>
      </c>
      <c r="BS12" s="402" t="s">
        <v>190</v>
      </c>
      <c r="BT12" s="402" t="s">
        <v>191</v>
      </c>
      <c r="BU12" s="402" t="s">
        <v>192</v>
      </c>
      <c r="BV12" s="402" t="s">
        <v>193</v>
      </c>
      <c r="BW12" s="402" t="s">
        <v>194</v>
      </c>
      <c r="BX12" s="402" t="s">
        <v>195</v>
      </c>
      <c r="BY12" s="402" t="s">
        <v>196</v>
      </c>
      <c r="BZ12" s="402" t="s">
        <v>197</v>
      </c>
      <c r="CA12" s="402" t="s">
        <v>198</v>
      </c>
      <c r="CB12" s="402" t="s">
        <v>199</v>
      </c>
      <c r="CC12" s="402" t="s">
        <v>200</v>
      </c>
      <c r="CD12" s="402" t="s">
        <v>185</v>
      </c>
      <c r="CE12" s="402" t="s">
        <v>201</v>
      </c>
      <c r="CF12" s="402" t="s">
        <v>188</v>
      </c>
      <c r="CG12" s="402" t="s">
        <v>202</v>
      </c>
      <c r="CH12" s="402" t="s">
        <v>191</v>
      </c>
      <c r="CI12" s="402" t="s">
        <v>203</v>
      </c>
      <c r="CJ12" s="402" t="s">
        <v>204</v>
      </c>
      <c r="CK12" s="402" t="s">
        <v>26</v>
      </c>
      <c r="CL12" s="402" t="s">
        <v>205</v>
      </c>
      <c r="CM12" s="402" t="s">
        <v>206</v>
      </c>
      <c r="CN12" s="239" t="s">
        <v>207</v>
      </c>
      <c r="CO12" s="402" t="s">
        <v>208</v>
      </c>
      <c r="CP12" s="402" t="s">
        <v>183</v>
      </c>
      <c r="CQ12" s="402" t="s">
        <v>184</v>
      </c>
      <c r="CR12" s="402" t="s">
        <v>185</v>
      </c>
      <c r="CS12" s="402" t="s">
        <v>186</v>
      </c>
      <c r="CT12" s="402" t="s">
        <v>187</v>
      </c>
      <c r="CU12" s="402" t="s">
        <v>188</v>
      </c>
      <c r="CV12" s="402" t="s">
        <v>189</v>
      </c>
      <c r="CW12" s="402" t="s">
        <v>190</v>
      </c>
      <c r="CX12" s="402" t="s">
        <v>191</v>
      </c>
      <c r="CY12" s="402" t="s">
        <v>192</v>
      </c>
      <c r="CZ12" s="402" t="s">
        <v>193</v>
      </c>
      <c r="DA12" s="402" t="s">
        <v>194</v>
      </c>
      <c r="DB12" s="642"/>
      <c r="DC12" s="642"/>
      <c r="DD12" s="642"/>
      <c r="DE12" s="642"/>
      <c r="DF12" s="642"/>
      <c r="DG12" s="642"/>
      <c r="DH12" s="644"/>
    </row>
    <row r="13" spans="1:112" s="227" customFormat="1" ht="16.5" customHeight="1" x14ac:dyDescent="0.2">
      <c r="B13" s="240"/>
      <c r="C13" s="241"/>
      <c r="D13" s="242"/>
      <c r="E13" s="242"/>
      <c r="F13" s="241"/>
      <c r="G13" s="241"/>
      <c r="H13" s="243"/>
      <c r="I13" s="241"/>
      <c r="J13" s="241"/>
      <c r="K13" s="241"/>
      <c r="L13" s="241"/>
      <c r="M13" s="241"/>
      <c r="N13" s="241"/>
      <c r="O13" s="241"/>
      <c r="P13" s="244"/>
      <c r="Q13" s="241"/>
      <c r="R13" s="241"/>
      <c r="S13" s="241"/>
      <c r="T13" s="241"/>
      <c r="U13" s="241"/>
      <c r="V13" s="245"/>
      <c r="W13" s="241"/>
      <c r="X13" s="246"/>
      <c r="Y13" s="243"/>
      <c r="Z13" s="241"/>
      <c r="AA13" s="241"/>
      <c r="AB13" s="247"/>
      <c r="AC13" s="241"/>
      <c r="AD13" s="241"/>
      <c r="AE13" s="244"/>
      <c r="AF13" s="241"/>
      <c r="AG13" s="241"/>
      <c r="AH13" s="241"/>
      <c r="AI13" s="241"/>
      <c r="AJ13" s="241"/>
      <c r="AK13" s="243"/>
      <c r="AL13" s="243"/>
      <c r="AM13" s="243"/>
      <c r="AN13" s="243"/>
      <c r="AO13" s="248"/>
      <c r="AP13" s="249"/>
      <c r="AQ13" s="241"/>
      <c r="AR13" s="241"/>
      <c r="AS13" s="243"/>
      <c r="AT13" s="250"/>
      <c r="AU13" s="232"/>
      <c r="AV13" s="251" t="s">
        <v>150</v>
      </c>
      <c r="AW13" s="252" t="s">
        <v>4</v>
      </c>
      <c r="AX13" s="253" t="s">
        <v>99</v>
      </c>
      <c r="AY13" s="253" t="s">
        <v>99</v>
      </c>
      <c r="AZ13" s="252" t="s">
        <v>209</v>
      </c>
      <c r="BA13" s="252" t="s">
        <v>209</v>
      </c>
      <c r="BB13" s="252" t="s">
        <v>95</v>
      </c>
      <c r="BC13" s="252" t="s">
        <v>4</v>
      </c>
      <c r="BD13" s="252" t="s">
        <v>4</v>
      </c>
      <c r="BE13" s="252" t="s">
        <v>4</v>
      </c>
      <c r="BF13" s="253" t="s">
        <v>95</v>
      </c>
      <c r="BG13" s="253" t="s">
        <v>95</v>
      </c>
      <c r="BH13" s="253" t="s">
        <v>4</v>
      </c>
      <c r="BI13" s="252" t="s">
        <v>4</v>
      </c>
      <c r="BJ13" s="252" t="s">
        <v>4</v>
      </c>
      <c r="BK13" s="252" t="s">
        <v>4</v>
      </c>
      <c r="BL13" s="252" t="s">
        <v>3</v>
      </c>
      <c r="BM13" s="252" t="s">
        <v>3</v>
      </c>
      <c r="BN13" s="252" t="s">
        <v>3</v>
      </c>
      <c r="BO13" s="252" t="s">
        <v>3</v>
      </c>
      <c r="BP13" s="252" t="s">
        <v>3</v>
      </c>
      <c r="BQ13" s="252" t="s">
        <v>3</v>
      </c>
      <c r="BR13" s="252" t="s">
        <v>3</v>
      </c>
      <c r="BS13" s="252" t="s">
        <v>3</v>
      </c>
      <c r="BT13" s="252" t="s">
        <v>3</v>
      </c>
      <c r="BU13" s="252" t="s">
        <v>3</v>
      </c>
      <c r="BV13" s="252" t="s">
        <v>3</v>
      </c>
      <c r="BW13" s="252" t="s">
        <v>3</v>
      </c>
      <c r="BX13" s="252" t="s">
        <v>3</v>
      </c>
      <c r="BY13" s="252" t="s">
        <v>210</v>
      </c>
      <c r="BZ13" s="252" t="s">
        <v>210</v>
      </c>
      <c r="CA13" s="252" t="s">
        <v>3</v>
      </c>
      <c r="CB13" s="252" t="s">
        <v>3</v>
      </c>
      <c r="CC13" s="252" t="s">
        <v>2</v>
      </c>
      <c r="CD13" s="252" t="s">
        <v>2</v>
      </c>
      <c r="CE13" s="252" t="s">
        <v>2</v>
      </c>
      <c r="CF13" s="252" t="s">
        <v>2</v>
      </c>
      <c r="CG13" s="252" t="s">
        <v>2</v>
      </c>
      <c r="CH13" s="252" t="s">
        <v>2</v>
      </c>
      <c r="CI13" s="252" t="s">
        <v>2</v>
      </c>
      <c r="CJ13" s="252" t="s">
        <v>2</v>
      </c>
      <c r="CK13" s="252" t="s">
        <v>95</v>
      </c>
      <c r="CL13" s="252" t="s">
        <v>3</v>
      </c>
      <c r="CM13" s="252" t="s">
        <v>3</v>
      </c>
      <c r="CN13" s="254" t="s">
        <v>210</v>
      </c>
      <c r="CO13" s="252" t="s">
        <v>3</v>
      </c>
      <c r="CP13" s="252" t="s">
        <v>3</v>
      </c>
      <c r="CQ13" s="252" t="s">
        <v>3</v>
      </c>
      <c r="CR13" s="252" t="s">
        <v>3</v>
      </c>
      <c r="CS13" s="252" t="s">
        <v>3</v>
      </c>
      <c r="CT13" s="252" t="s">
        <v>3</v>
      </c>
      <c r="CU13" s="252" t="s">
        <v>3</v>
      </c>
      <c r="CV13" s="252" t="s">
        <v>3</v>
      </c>
      <c r="CW13" s="252" t="s">
        <v>3</v>
      </c>
      <c r="CX13" s="252" t="s">
        <v>3</v>
      </c>
      <c r="CY13" s="252" t="s">
        <v>3</v>
      </c>
      <c r="CZ13" s="252" t="s">
        <v>3</v>
      </c>
      <c r="DA13" s="252" t="s">
        <v>3</v>
      </c>
      <c r="DB13" s="252" t="s">
        <v>211</v>
      </c>
      <c r="DC13" s="252" t="s">
        <v>4</v>
      </c>
      <c r="DD13" s="252" t="s">
        <v>4</v>
      </c>
      <c r="DE13" s="252" t="s">
        <v>4</v>
      </c>
      <c r="DF13" s="252" t="s">
        <v>4</v>
      </c>
      <c r="DG13" s="252" t="s">
        <v>4</v>
      </c>
      <c r="DH13" s="403" t="s">
        <v>4</v>
      </c>
    </row>
    <row r="14" spans="1:112" ht="16.5" hidden="1" customHeight="1" x14ac:dyDescent="0.2">
      <c r="A14" s="647"/>
      <c r="B14" s="255" t="s">
        <v>212</v>
      </c>
      <c r="C14" s="256">
        <v>116</v>
      </c>
      <c r="D14" s="257">
        <v>2.25</v>
      </c>
      <c r="E14" s="257">
        <v>2.25</v>
      </c>
      <c r="F14" s="258">
        <v>0.6</v>
      </c>
      <c r="G14" s="258">
        <v>0.88546749329555607</v>
      </c>
      <c r="H14" s="258">
        <v>0.88546749329555607</v>
      </c>
      <c r="I14" s="258">
        <v>0.49983377720112065</v>
      </c>
      <c r="J14" s="257">
        <v>165.96086842678179</v>
      </c>
      <c r="K14" s="258">
        <v>0.45944257365175495</v>
      </c>
      <c r="L14" s="258">
        <v>0</v>
      </c>
      <c r="M14" s="258">
        <v>9.1412025805375219</v>
      </c>
      <c r="N14" s="258">
        <v>1.0726004926924309</v>
      </c>
      <c r="O14" s="258">
        <v>0.72500000000002274</v>
      </c>
      <c r="P14" s="259">
        <v>6.2500000000001964E-3</v>
      </c>
      <c r="Q14" s="258">
        <v>0.45944257365175489</v>
      </c>
      <c r="R14" s="258">
        <v>0.72500000000002274</v>
      </c>
      <c r="S14" s="260">
        <v>6.2500000000001964E-3</v>
      </c>
      <c r="T14" s="261">
        <v>0.62083348184063059</v>
      </c>
      <c r="U14" s="262">
        <v>0.30271932235228521</v>
      </c>
      <c r="V14" s="263">
        <v>0</v>
      </c>
      <c r="W14" s="263">
        <v>0</v>
      </c>
      <c r="X14" s="264">
        <v>1</v>
      </c>
      <c r="Y14" s="265"/>
      <c r="Z14" s="266">
        <v>0.8</v>
      </c>
      <c r="AA14" s="262">
        <v>0.50265482457436694</v>
      </c>
      <c r="AB14" s="267">
        <v>1.8024729118670266</v>
      </c>
      <c r="AC14" s="258">
        <v>0.15805534526260173</v>
      </c>
      <c r="AD14" s="258">
        <v>0.25</v>
      </c>
      <c r="AE14" s="259">
        <v>0.5</v>
      </c>
      <c r="AF14" s="258">
        <v>0.4</v>
      </c>
      <c r="AG14" s="258">
        <v>0.2</v>
      </c>
      <c r="AH14" s="258">
        <v>0.9746826632001756</v>
      </c>
      <c r="AI14" s="258">
        <v>0</v>
      </c>
      <c r="AJ14" s="267">
        <v>0.9746826632001756</v>
      </c>
      <c r="AK14" s="258">
        <v>318.56900000000002</v>
      </c>
      <c r="AL14" s="268">
        <v>317.84399999999999</v>
      </c>
      <c r="AM14" s="257">
        <v>1.5</v>
      </c>
      <c r="AN14" s="257">
        <v>1.5</v>
      </c>
      <c r="AO14" s="269">
        <v>317.06900000000002</v>
      </c>
      <c r="AP14" s="269">
        <v>316.34399999999999</v>
      </c>
      <c r="AQ14" s="258">
        <v>317.46899999999999</v>
      </c>
      <c r="AR14" s="258">
        <v>316.74399999999997</v>
      </c>
      <c r="AS14" s="257">
        <v>0.61599999999998545</v>
      </c>
      <c r="AT14" s="270">
        <v>0.61599999999998545</v>
      </c>
      <c r="AU14" s="271"/>
      <c r="AV14" s="404" t="s">
        <v>212</v>
      </c>
      <c r="AW14" s="272">
        <v>0</v>
      </c>
      <c r="AX14" s="273">
        <v>0</v>
      </c>
      <c r="AY14" s="273">
        <v>1</v>
      </c>
      <c r="AZ14" s="273">
        <v>0</v>
      </c>
      <c r="BA14" s="273">
        <v>800</v>
      </c>
      <c r="BB14" s="274" t="s">
        <v>1358</v>
      </c>
      <c r="BC14" s="275">
        <v>1.5</v>
      </c>
      <c r="BD14" s="275">
        <v>1.5</v>
      </c>
      <c r="BE14" s="275">
        <v>0</v>
      </c>
      <c r="BF14" s="276">
        <v>4</v>
      </c>
      <c r="BG14" s="276" t="s">
        <v>1359</v>
      </c>
      <c r="BH14" s="275">
        <v>1.5</v>
      </c>
      <c r="BI14" s="275">
        <v>1.6679999999999999</v>
      </c>
      <c r="BJ14" s="275">
        <v>1.6</v>
      </c>
      <c r="BK14" s="275">
        <v>2.4340000000000002</v>
      </c>
      <c r="BL14" s="275" t="s">
        <v>1085</v>
      </c>
      <c r="BM14" s="275" t="s">
        <v>1085</v>
      </c>
      <c r="BN14" s="275" t="s">
        <v>1085</v>
      </c>
      <c r="BO14" s="275" t="s">
        <v>1085</v>
      </c>
      <c r="BP14" s="275" t="s">
        <v>1085</v>
      </c>
      <c r="BQ14" s="275">
        <v>0</v>
      </c>
      <c r="BR14" s="275" t="s">
        <v>1085</v>
      </c>
      <c r="BS14" s="275" t="s">
        <v>1085</v>
      </c>
      <c r="BT14" s="275" t="s">
        <v>1085</v>
      </c>
      <c r="BU14" s="275" t="s">
        <v>1085</v>
      </c>
      <c r="BV14" s="275" t="s">
        <v>1085</v>
      </c>
      <c r="BW14" s="275" t="s">
        <v>1085</v>
      </c>
      <c r="BX14" s="275">
        <v>0</v>
      </c>
      <c r="BY14" s="54">
        <v>0</v>
      </c>
      <c r="BZ14" s="54">
        <v>0.15</v>
      </c>
      <c r="CA14" s="275">
        <v>0</v>
      </c>
      <c r="CB14" s="275">
        <v>0</v>
      </c>
      <c r="CC14" s="275" t="s">
        <v>1085</v>
      </c>
      <c r="CD14" s="275" t="s">
        <v>1085</v>
      </c>
      <c r="CE14" s="275" t="s">
        <v>1085</v>
      </c>
      <c r="CF14" s="275">
        <v>0</v>
      </c>
      <c r="CG14" s="275" t="s">
        <v>1085</v>
      </c>
      <c r="CH14" s="275" t="s">
        <v>1085</v>
      </c>
      <c r="CI14" s="275" t="s">
        <v>1085</v>
      </c>
      <c r="CJ14" s="275">
        <v>0</v>
      </c>
      <c r="CK14" s="274" t="s">
        <v>214</v>
      </c>
      <c r="CL14" s="275" t="s">
        <v>1085</v>
      </c>
      <c r="CM14" s="275" t="s">
        <v>1085</v>
      </c>
      <c r="CN14" s="277">
        <v>0.1</v>
      </c>
      <c r="CO14" s="275">
        <v>0</v>
      </c>
      <c r="CP14" s="275" t="s">
        <v>1085</v>
      </c>
      <c r="CQ14" s="275" t="s">
        <v>1085</v>
      </c>
      <c r="CR14" s="275" t="s">
        <v>1085</v>
      </c>
      <c r="CS14" s="275" t="s">
        <v>1085</v>
      </c>
      <c r="CT14" s="275" t="s">
        <v>1085</v>
      </c>
      <c r="CU14" s="275">
        <v>0</v>
      </c>
      <c r="CV14" s="275" t="s">
        <v>1085</v>
      </c>
      <c r="CW14" s="275" t="s">
        <v>1085</v>
      </c>
      <c r="CX14" s="275" t="s">
        <v>1085</v>
      </c>
      <c r="CY14" s="275" t="s">
        <v>1085</v>
      </c>
      <c r="CZ14" s="275" t="s">
        <v>1085</v>
      </c>
      <c r="DA14" s="275" t="s">
        <v>1085</v>
      </c>
      <c r="DB14" s="275">
        <v>0</v>
      </c>
      <c r="DC14" s="275">
        <v>0</v>
      </c>
      <c r="DD14" s="275">
        <v>0</v>
      </c>
      <c r="DE14" s="275">
        <v>0</v>
      </c>
      <c r="DF14" s="275">
        <v>0</v>
      </c>
      <c r="DG14" s="275">
        <v>0</v>
      </c>
      <c r="DH14" s="405">
        <v>0</v>
      </c>
    </row>
    <row r="15" spans="1:112" ht="16.5" hidden="1" customHeight="1" x14ac:dyDescent="0.2">
      <c r="A15" s="647"/>
      <c r="B15" s="255" t="s">
        <v>215</v>
      </c>
      <c r="C15" s="256">
        <v>116</v>
      </c>
      <c r="D15" s="257">
        <v>2.2000000000000002</v>
      </c>
      <c r="E15" s="257">
        <v>4.45</v>
      </c>
      <c r="F15" s="258">
        <v>0.6</v>
      </c>
      <c r="G15" s="258">
        <v>0.79936660038933782</v>
      </c>
      <c r="H15" s="258">
        <v>0.79936660038933782</v>
      </c>
      <c r="I15" s="258">
        <v>0.51194509539621047</v>
      </c>
      <c r="J15" s="257">
        <v>159.59339332705193</v>
      </c>
      <c r="K15" s="258">
        <v>0.8079585867391984</v>
      </c>
      <c r="L15" s="258">
        <v>0</v>
      </c>
      <c r="M15" s="258">
        <v>10.213803073229952</v>
      </c>
      <c r="N15" s="258">
        <v>0.9079742476112781</v>
      </c>
      <c r="O15" s="258">
        <v>0.80700000000001637</v>
      </c>
      <c r="P15" s="259">
        <v>6.9568965517242789E-3</v>
      </c>
      <c r="Q15" s="258">
        <v>0.39944020018567111</v>
      </c>
      <c r="R15" s="258">
        <v>0.70699999999999363</v>
      </c>
      <c r="S15" s="260">
        <v>6.0948275862068415E-3</v>
      </c>
      <c r="T15" s="261">
        <v>0.75194126445422005</v>
      </c>
      <c r="U15" s="262">
        <v>0.44407642499559602</v>
      </c>
      <c r="V15" s="263">
        <v>0</v>
      </c>
      <c r="W15" s="263">
        <v>0</v>
      </c>
      <c r="X15" s="264">
        <v>1</v>
      </c>
      <c r="Y15" s="265"/>
      <c r="Z15" s="266">
        <v>0.8</v>
      </c>
      <c r="AA15" s="262">
        <v>0.50265482457436694</v>
      </c>
      <c r="AB15" s="267">
        <v>2.1292821227249519</v>
      </c>
      <c r="AC15" s="258">
        <v>0.26345065855131611</v>
      </c>
      <c r="AD15" s="258">
        <v>0.29620000000000002</v>
      </c>
      <c r="AE15" s="259">
        <v>0.7</v>
      </c>
      <c r="AF15" s="258">
        <v>0.55999999999999994</v>
      </c>
      <c r="AG15" s="258">
        <v>0.23696000000000003</v>
      </c>
      <c r="AH15" s="258">
        <v>1.0283264470350353</v>
      </c>
      <c r="AI15" s="258">
        <v>0</v>
      </c>
      <c r="AJ15" s="267">
        <v>1.0283264470350353</v>
      </c>
      <c r="AK15" s="258">
        <v>317.84399999999999</v>
      </c>
      <c r="AL15" s="268">
        <v>317.137</v>
      </c>
      <c r="AM15" s="257">
        <v>1.5</v>
      </c>
      <c r="AN15" s="257">
        <v>1.6</v>
      </c>
      <c r="AO15" s="269">
        <v>316.34399999999999</v>
      </c>
      <c r="AP15" s="269">
        <v>315.53699999999998</v>
      </c>
      <c r="AQ15" s="258">
        <v>316.904</v>
      </c>
      <c r="AR15" s="258">
        <v>316.09699999999998</v>
      </c>
      <c r="AS15" s="257">
        <v>0.61599999999998545</v>
      </c>
      <c r="AT15" s="270">
        <v>0.71600000000000819</v>
      </c>
      <c r="AU15" s="271"/>
      <c r="AV15" s="404" t="s">
        <v>215</v>
      </c>
      <c r="AW15" s="272">
        <v>0</v>
      </c>
      <c r="AX15" s="273">
        <v>0</v>
      </c>
      <c r="AY15" s="273">
        <v>1</v>
      </c>
      <c r="AZ15" s="273">
        <v>0</v>
      </c>
      <c r="BA15" s="273">
        <v>800</v>
      </c>
      <c r="BB15" s="274" t="s">
        <v>1358</v>
      </c>
      <c r="BC15" s="275">
        <v>1.5</v>
      </c>
      <c r="BD15" s="275">
        <v>1.6</v>
      </c>
      <c r="BE15" s="275">
        <v>0</v>
      </c>
      <c r="BF15" s="276">
        <v>4</v>
      </c>
      <c r="BG15" s="276" t="s">
        <v>1359</v>
      </c>
      <c r="BH15" s="275">
        <v>1.55</v>
      </c>
      <c r="BI15" s="275">
        <v>1.718</v>
      </c>
      <c r="BJ15" s="275">
        <v>1.6</v>
      </c>
      <c r="BK15" s="275">
        <v>2.4590000000000001</v>
      </c>
      <c r="BL15" s="275" t="s">
        <v>1085</v>
      </c>
      <c r="BM15" s="275" t="s">
        <v>1085</v>
      </c>
      <c r="BN15" s="275" t="s">
        <v>1085</v>
      </c>
      <c r="BO15" s="275" t="s">
        <v>1085</v>
      </c>
      <c r="BP15" s="275" t="s">
        <v>1085</v>
      </c>
      <c r="BQ15" s="275">
        <v>0</v>
      </c>
      <c r="BR15" s="275" t="s">
        <v>1085</v>
      </c>
      <c r="BS15" s="275" t="s">
        <v>1085</v>
      </c>
      <c r="BT15" s="275" t="s">
        <v>1085</v>
      </c>
      <c r="BU15" s="275" t="s">
        <v>1085</v>
      </c>
      <c r="BV15" s="275" t="s">
        <v>1085</v>
      </c>
      <c r="BW15" s="275" t="s">
        <v>1085</v>
      </c>
      <c r="BX15" s="275">
        <v>0</v>
      </c>
      <c r="BY15" s="54">
        <v>0</v>
      </c>
      <c r="BZ15" s="54">
        <v>0.15</v>
      </c>
      <c r="CA15" s="275">
        <v>0</v>
      </c>
      <c r="CB15" s="275">
        <v>0</v>
      </c>
      <c r="CC15" s="275" t="s">
        <v>1085</v>
      </c>
      <c r="CD15" s="275" t="s">
        <v>1085</v>
      </c>
      <c r="CE15" s="275" t="s">
        <v>1085</v>
      </c>
      <c r="CF15" s="275">
        <v>0</v>
      </c>
      <c r="CG15" s="275" t="s">
        <v>1085</v>
      </c>
      <c r="CH15" s="275" t="s">
        <v>1085</v>
      </c>
      <c r="CI15" s="275" t="s">
        <v>1085</v>
      </c>
      <c r="CJ15" s="275">
        <v>0</v>
      </c>
      <c r="CK15" s="274" t="s">
        <v>214</v>
      </c>
      <c r="CL15" s="275" t="s">
        <v>1085</v>
      </c>
      <c r="CM15" s="275" t="s">
        <v>1085</v>
      </c>
      <c r="CN15" s="277">
        <v>0.1</v>
      </c>
      <c r="CO15" s="275">
        <v>0</v>
      </c>
      <c r="CP15" s="275" t="s">
        <v>1085</v>
      </c>
      <c r="CQ15" s="275" t="s">
        <v>1085</v>
      </c>
      <c r="CR15" s="275" t="s">
        <v>1085</v>
      </c>
      <c r="CS15" s="275" t="s">
        <v>1085</v>
      </c>
      <c r="CT15" s="275" t="s">
        <v>1085</v>
      </c>
      <c r="CU15" s="275">
        <v>0</v>
      </c>
      <c r="CV15" s="275" t="s">
        <v>1085</v>
      </c>
      <c r="CW15" s="275" t="s">
        <v>1085</v>
      </c>
      <c r="CX15" s="275" t="s">
        <v>1085</v>
      </c>
      <c r="CY15" s="275" t="s">
        <v>1085</v>
      </c>
      <c r="CZ15" s="275" t="s">
        <v>1085</v>
      </c>
      <c r="DA15" s="275" t="s">
        <v>1085</v>
      </c>
      <c r="DB15" s="275">
        <v>0</v>
      </c>
      <c r="DC15" s="275">
        <v>0</v>
      </c>
      <c r="DD15" s="275">
        <v>0</v>
      </c>
      <c r="DE15" s="275">
        <v>0</v>
      </c>
      <c r="DF15" s="275">
        <v>0</v>
      </c>
      <c r="DG15" s="275">
        <v>0</v>
      </c>
      <c r="DH15" s="405">
        <v>0</v>
      </c>
    </row>
    <row r="16" spans="1:112" ht="16.5" hidden="1" customHeight="1" x14ac:dyDescent="0.2">
      <c r="A16" s="647"/>
      <c r="B16" s="255" t="s">
        <v>216</v>
      </c>
      <c r="C16" s="256">
        <v>116</v>
      </c>
      <c r="D16" s="257">
        <v>2.2200000000000002</v>
      </c>
      <c r="E16" s="257">
        <v>9.7100000000000009</v>
      </c>
      <c r="F16" s="258">
        <v>0.6</v>
      </c>
      <c r="G16" s="258">
        <v>0.71107779251399417</v>
      </c>
      <c r="H16" s="258">
        <v>0.71107779251399417</v>
      </c>
      <c r="I16" s="258">
        <v>0.52114533655640205</v>
      </c>
      <c r="J16" s="257">
        <v>154.608939512381</v>
      </c>
      <c r="K16" s="258">
        <v>1.5465878658174177</v>
      </c>
      <c r="L16" s="258">
        <v>0</v>
      </c>
      <c r="M16" s="258">
        <v>11.121777320841231</v>
      </c>
      <c r="N16" s="258">
        <v>0.81464382420054848</v>
      </c>
      <c r="O16" s="258">
        <v>0.72199999999997999</v>
      </c>
      <c r="P16" s="259">
        <v>6.2241379310343107E-3</v>
      </c>
      <c r="Q16" s="258">
        <v>0.35359681381201519</v>
      </c>
      <c r="R16" s="258">
        <v>0.72199999999997999</v>
      </c>
      <c r="S16" s="260">
        <v>6.2241379310343107E-3</v>
      </c>
      <c r="T16" s="261">
        <v>0.97947091243159434</v>
      </c>
      <c r="U16" s="262">
        <v>0.75348214895346355</v>
      </c>
      <c r="V16" s="263">
        <v>0</v>
      </c>
      <c r="W16" s="263">
        <v>0</v>
      </c>
      <c r="X16" s="264">
        <v>1</v>
      </c>
      <c r="Y16" s="265"/>
      <c r="Z16" s="266">
        <v>1</v>
      </c>
      <c r="AA16" s="262">
        <v>0.78539816339744828</v>
      </c>
      <c r="AB16" s="267">
        <v>2.3732252990816103</v>
      </c>
      <c r="AC16" s="258">
        <v>0.2940534325366298</v>
      </c>
      <c r="AD16" s="258">
        <v>0.30309999999999998</v>
      </c>
      <c r="AE16" s="259">
        <v>0.77</v>
      </c>
      <c r="AF16" s="258">
        <v>0.77</v>
      </c>
      <c r="AG16" s="258">
        <v>0.30309999999999998</v>
      </c>
      <c r="AH16" s="258">
        <v>1.7635571504820573</v>
      </c>
      <c r="AI16" s="258">
        <v>0</v>
      </c>
      <c r="AJ16" s="267">
        <v>1.7635571504820573</v>
      </c>
      <c r="AK16" s="258">
        <v>317.137</v>
      </c>
      <c r="AL16" s="268">
        <v>316.41500000000002</v>
      </c>
      <c r="AM16" s="257">
        <v>1.6</v>
      </c>
      <c r="AN16" s="257">
        <v>1.6</v>
      </c>
      <c r="AO16" s="269">
        <v>315.53699999999998</v>
      </c>
      <c r="AP16" s="269">
        <v>314.815</v>
      </c>
      <c r="AQ16" s="258">
        <v>316.30699999999996</v>
      </c>
      <c r="AR16" s="258">
        <v>315.58499999999998</v>
      </c>
      <c r="AS16" s="257">
        <v>0.49500000000000455</v>
      </c>
      <c r="AT16" s="270">
        <v>0.49500000000000455</v>
      </c>
      <c r="AU16" s="271"/>
      <c r="AV16" s="404" t="s">
        <v>216</v>
      </c>
      <c r="AW16" s="272">
        <v>0</v>
      </c>
      <c r="AX16" s="273">
        <v>0</v>
      </c>
      <c r="AY16" s="273">
        <v>1</v>
      </c>
      <c r="AZ16" s="273">
        <v>0</v>
      </c>
      <c r="BA16" s="273">
        <v>1000</v>
      </c>
      <c r="BB16" s="274" t="s">
        <v>1358</v>
      </c>
      <c r="BC16" s="275">
        <v>1.6</v>
      </c>
      <c r="BD16" s="275">
        <v>1.6</v>
      </c>
      <c r="BE16" s="275">
        <v>0</v>
      </c>
      <c r="BF16" s="276">
        <v>4</v>
      </c>
      <c r="BG16" s="276" t="s">
        <v>1359</v>
      </c>
      <c r="BH16" s="275">
        <v>1.6</v>
      </c>
      <c r="BI16" s="275">
        <v>1.81</v>
      </c>
      <c r="BJ16" s="275">
        <v>2</v>
      </c>
      <c r="BK16" s="275">
        <v>2.9050000000000002</v>
      </c>
      <c r="BL16" s="275" t="s">
        <v>1085</v>
      </c>
      <c r="BM16" s="275" t="s">
        <v>1085</v>
      </c>
      <c r="BN16" s="275" t="s">
        <v>1085</v>
      </c>
      <c r="BO16" s="275" t="s">
        <v>1085</v>
      </c>
      <c r="BP16" s="275" t="s">
        <v>1085</v>
      </c>
      <c r="BQ16" s="275">
        <v>0</v>
      </c>
      <c r="BR16" s="275" t="s">
        <v>1085</v>
      </c>
      <c r="BS16" s="275" t="s">
        <v>1085</v>
      </c>
      <c r="BT16" s="275" t="s">
        <v>1085</v>
      </c>
      <c r="BU16" s="275" t="s">
        <v>1085</v>
      </c>
      <c r="BV16" s="275" t="s">
        <v>1085</v>
      </c>
      <c r="BW16" s="275" t="s">
        <v>1085</v>
      </c>
      <c r="BX16" s="275">
        <v>0</v>
      </c>
      <c r="BY16" s="54">
        <v>0</v>
      </c>
      <c r="BZ16" s="54">
        <v>0.15</v>
      </c>
      <c r="CA16" s="275">
        <v>0</v>
      </c>
      <c r="CB16" s="275">
        <v>0</v>
      </c>
      <c r="CC16" s="275" t="s">
        <v>1085</v>
      </c>
      <c r="CD16" s="275" t="s">
        <v>1085</v>
      </c>
      <c r="CE16" s="275" t="s">
        <v>1085</v>
      </c>
      <c r="CF16" s="275">
        <v>0</v>
      </c>
      <c r="CG16" s="275" t="s">
        <v>1085</v>
      </c>
      <c r="CH16" s="275" t="s">
        <v>1085</v>
      </c>
      <c r="CI16" s="275" t="s">
        <v>1085</v>
      </c>
      <c r="CJ16" s="275">
        <v>0</v>
      </c>
      <c r="CK16" s="274" t="s">
        <v>214</v>
      </c>
      <c r="CL16" s="275" t="s">
        <v>1085</v>
      </c>
      <c r="CM16" s="275" t="s">
        <v>1085</v>
      </c>
      <c r="CN16" s="277">
        <v>0.1</v>
      </c>
      <c r="CO16" s="275">
        <v>0</v>
      </c>
      <c r="CP16" s="275" t="s">
        <v>1085</v>
      </c>
      <c r="CQ16" s="275" t="s">
        <v>1085</v>
      </c>
      <c r="CR16" s="275" t="s">
        <v>1085</v>
      </c>
      <c r="CS16" s="275" t="s">
        <v>1085</v>
      </c>
      <c r="CT16" s="275" t="s">
        <v>1085</v>
      </c>
      <c r="CU16" s="275">
        <v>0</v>
      </c>
      <c r="CV16" s="275" t="s">
        <v>1085</v>
      </c>
      <c r="CW16" s="275" t="s">
        <v>1085</v>
      </c>
      <c r="CX16" s="275" t="s">
        <v>1085</v>
      </c>
      <c r="CY16" s="275" t="s">
        <v>1085</v>
      </c>
      <c r="CZ16" s="275" t="s">
        <v>1085</v>
      </c>
      <c r="DA16" s="275" t="s">
        <v>1085</v>
      </c>
      <c r="DB16" s="275">
        <v>0</v>
      </c>
      <c r="DC16" s="275">
        <v>0</v>
      </c>
      <c r="DD16" s="275">
        <v>0</v>
      </c>
      <c r="DE16" s="275">
        <v>0</v>
      </c>
      <c r="DF16" s="275">
        <v>0</v>
      </c>
      <c r="DG16" s="275">
        <v>0</v>
      </c>
      <c r="DH16" s="405">
        <v>0</v>
      </c>
    </row>
    <row r="17" spans="1:112" ht="16.5" hidden="1" customHeight="1" x14ac:dyDescent="0.2">
      <c r="A17" s="647"/>
      <c r="B17" s="255" t="s">
        <v>217</v>
      </c>
      <c r="C17" s="256">
        <v>96</v>
      </c>
      <c r="D17" s="257">
        <v>2.11</v>
      </c>
      <c r="E17" s="257">
        <v>11.82</v>
      </c>
      <c r="F17" s="258">
        <v>0.6</v>
      </c>
      <c r="G17" s="258">
        <v>0.69041048547178596</v>
      </c>
      <c r="H17" s="258">
        <v>0.69041048547178596</v>
      </c>
      <c r="I17" s="258">
        <v>0.52870781077937135</v>
      </c>
      <c r="J17" s="257">
        <v>150.4198928928981</v>
      </c>
      <c r="K17" s="258">
        <v>1.8042248182270226</v>
      </c>
      <c r="L17" s="258">
        <v>0</v>
      </c>
      <c r="M17" s="258">
        <v>11.936421145041779</v>
      </c>
      <c r="N17" s="258">
        <v>0.57797753862753132</v>
      </c>
      <c r="O17" s="258">
        <v>0.81299999999998818</v>
      </c>
      <c r="P17" s="259">
        <v>8.4687499999998774E-3</v>
      </c>
      <c r="Q17" s="258">
        <v>0.3220739734736901</v>
      </c>
      <c r="R17" s="258">
        <v>0.61299999999999955</v>
      </c>
      <c r="S17" s="260">
        <v>6.3854166666666616E-3</v>
      </c>
      <c r="T17" s="261">
        <v>0.97950981902265988</v>
      </c>
      <c r="U17" s="262">
        <v>0.75354200985123343</v>
      </c>
      <c r="V17" s="263">
        <v>0</v>
      </c>
      <c r="W17" s="263">
        <v>0</v>
      </c>
      <c r="X17" s="264">
        <v>1</v>
      </c>
      <c r="Y17" s="265"/>
      <c r="Z17" s="266">
        <v>1</v>
      </c>
      <c r="AA17" s="262">
        <v>0.78539816339744828</v>
      </c>
      <c r="AB17" s="267">
        <v>2.7682736664808272</v>
      </c>
      <c r="AC17" s="258">
        <v>0.29408458131355469</v>
      </c>
      <c r="AD17" s="258">
        <v>0.30309999999999998</v>
      </c>
      <c r="AE17" s="259">
        <v>0.77</v>
      </c>
      <c r="AF17" s="258">
        <v>0.77</v>
      </c>
      <c r="AG17" s="258">
        <v>0.30309999999999998</v>
      </c>
      <c r="AH17" s="258">
        <v>2.0571198279837501</v>
      </c>
      <c r="AI17" s="258">
        <v>0</v>
      </c>
      <c r="AJ17" s="267">
        <v>2.0571198279837501</v>
      </c>
      <c r="AK17" s="258">
        <v>316.41500000000002</v>
      </c>
      <c r="AL17" s="268">
        <v>315.80200000000002</v>
      </c>
      <c r="AM17" s="257">
        <v>1.6</v>
      </c>
      <c r="AN17" s="257">
        <v>1.8</v>
      </c>
      <c r="AO17" s="269">
        <v>314.815</v>
      </c>
      <c r="AP17" s="269">
        <v>314.00200000000001</v>
      </c>
      <c r="AQ17" s="258">
        <v>315.58499999999998</v>
      </c>
      <c r="AR17" s="258">
        <v>314.77199999999999</v>
      </c>
      <c r="AS17" s="257">
        <v>0.49500000000000455</v>
      </c>
      <c r="AT17" s="270">
        <v>0.69499999999999318</v>
      </c>
      <c r="AU17" s="271"/>
      <c r="AV17" s="404" t="s">
        <v>217</v>
      </c>
      <c r="AW17" s="272">
        <v>0</v>
      </c>
      <c r="AX17" s="273">
        <v>0</v>
      </c>
      <c r="AY17" s="273">
        <v>1</v>
      </c>
      <c r="AZ17" s="273">
        <v>0</v>
      </c>
      <c r="BA17" s="273">
        <v>1000</v>
      </c>
      <c r="BB17" s="274" t="s">
        <v>1358</v>
      </c>
      <c r="BC17" s="275">
        <v>1.6</v>
      </c>
      <c r="BD17" s="275">
        <v>1.8</v>
      </c>
      <c r="BE17" s="275">
        <v>0</v>
      </c>
      <c r="BF17" s="276">
        <v>4</v>
      </c>
      <c r="BG17" s="276" t="s">
        <v>1359</v>
      </c>
      <c r="BH17" s="275">
        <v>1.7000000000000002</v>
      </c>
      <c r="BI17" s="275">
        <v>1.9100000000000001</v>
      </c>
      <c r="BJ17" s="275">
        <v>2</v>
      </c>
      <c r="BK17" s="275">
        <v>2.9550000000000001</v>
      </c>
      <c r="BL17" s="275" t="s">
        <v>1085</v>
      </c>
      <c r="BM17" s="275" t="s">
        <v>1085</v>
      </c>
      <c r="BN17" s="275" t="s">
        <v>1085</v>
      </c>
      <c r="BO17" s="275" t="s">
        <v>1085</v>
      </c>
      <c r="BP17" s="275" t="s">
        <v>1085</v>
      </c>
      <c r="BQ17" s="275">
        <v>0</v>
      </c>
      <c r="BR17" s="275" t="s">
        <v>1085</v>
      </c>
      <c r="BS17" s="275" t="s">
        <v>1085</v>
      </c>
      <c r="BT17" s="275" t="s">
        <v>1085</v>
      </c>
      <c r="BU17" s="275" t="s">
        <v>1085</v>
      </c>
      <c r="BV17" s="275" t="s">
        <v>1085</v>
      </c>
      <c r="BW17" s="275" t="s">
        <v>1085</v>
      </c>
      <c r="BX17" s="275">
        <v>0</v>
      </c>
      <c r="BY17" s="54">
        <v>0</v>
      </c>
      <c r="BZ17" s="54">
        <v>0.15</v>
      </c>
      <c r="CA17" s="275">
        <v>0</v>
      </c>
      <c r="CB17" s="275">
        <v>0</v>
      </c>
      <c r="CC17" s="275" t="s">
        <v>1085</v>
      </c>
      <c r="CD17" s="275" t="s">
        <v>1085</v>
      </c>
      <c r="CE17" s="275" t="s">
        <v>1085</v>
      </c>
      <c r="CF17" s="275">
        <v>0</v>
      </c>
      <c r="CG17" s="275" t="s">
        <v>1085</v>
      </c>
      <c r="CH17" s="275" t="s">
        <v>1085</v>
      </c>
      <c r="CI17" s="275" t="s">
        <v>1085</v>
      </c>
      <c r="CJ17" s="275">
        <v>0</v>
      </c>
      <c r="CK17" s="274" t="s">
        <v>214</v>
      </c>
      <c r="CL17" s="275" t="s">
        <v>1085</v>
      </c>
      <c r="CM17" s="275" t="s">
        <v>1085</v>
      </c>
      <c r="CN17" s="277">
        <v>0.1</v>
      </c>
      <c r="CO17" s="275">
        <v>0</v>
      </c>
      <c r="CP17" s="275" t="s">
        <v>1085</v>
      </c>
      <c r="CQ17" s="275" t="s">
        <v>1085</v>
      </c>
      <c r="CR17" s="275" t="s">
        <v>1085</v>
      </c>
      <c r="CS17" s="275" t="s">
        <v>1085</v>
      </c>
      <c r="CT17" s="275" t="s">
        <v>1085</v>
      </c>
      <c r="CU17" s="275">
        <v>0</v>
      </c>
      <c r="CV17" s="275" t="s">
        <v>1085</v>
      </c>
      <c r="CW17" s="275" t="s">
        <v>1085</v>
      </c>
      <c r="CX17" s="275" t="s">
        <v>1085</v>
      </c>
      <c r="CY17" s="275" t="s">
        <v>1085</v>
      </c>
      <c r="CZ17" s="275" t="s">
        <v>1085</v>
      </c>
      <c r="DA17" s="275" t="s">
        <v>1085</v>
      </c>
      <c r="DB17" s="275">
        <v>0</v>
      </c>
      <c r="DC17" s="275">
        <v>0</v>
      </c>
      <c r="DD17" s="275">
        <v>0</v>
      </c>
      <c r="DE17" s="275">
        <v>0</v>
      </c>
      <c r="DF17" s="275">
        <v>0</v>
      </c>
      <c r="DG17" s="275">
        <v>0</v>
      </c>
      <c r="DH17" s="405">
        <v>0</v>
      </c>
    </row>
    <row r="18" spans="1:112" ht="16.5" hidden="1" customHeight="1" x14ac:dyDescent="0.2">
      <c r="A18" s="647"/>
      <c r="B18" s="255" t="s">
        <v>367</v>
      </c>
      <c r="C18" s="256">
        <v>96</v>
      </c>
      <c r="D18" s="257">
        <v>1.87</v>
      </c>
      <c r="E18" s="257">
        <v>15.370000000000001</v>
      </c>
      <c r="F18" s="258">
        <v>0.6</v>
      </c>
      <c r="G18" s="258">
        <v>0.66374141962208799</v>
      </c>
      <c r="H18" s="258">
        <v>0.66374141962208799</v>
      </c>
      <c r="I18" s="258">
        <v>0.53372530370779747</v>
      </c>
      <c r="J18" s="257">
        <v>147.59635132689513</v>
      </c>
      <c r="K18" s="258">
        <v>2.2341431569274017</v>
      </c>
      <c r="L18" s="258">
        <v>0</v>
      </c>
      <c r="M18" s="258">
        <v>12.51439868366931</v>
      </c>
      <c r="N18" s="258">
        <v>0.5269259408334156</v>
      </c>
      <c r="O18" s="258">
        <v>0.85300000000000864</v>
      </c>
      <c r="P18" s="259">
        <v>8.8854166666667567E-3</v>
      </c>
      <c r="Q18" s="258">
        <v>0.27181832813625512</v>
      </c>
      <c r="R18" s="258">
        <v>0.85300000000000864</v>
      </c>
      <c r="S18" s="260">
        <v>8.8854166666667567E-3</v>
      </c>
      <c r="T18" s="261">
        <v>1.0517328946197377</v>
      </c>
      <c r="U18" s="262">
        <v>0.86876195936507206</v>
      </c>
      <c r="V18" s="263">
        <v>0</v>
      </c>
      <c r="W18" s="263">
        <v>0</v>
      </c>
      <c r="X18" s="264">
        <v>1</v>
      </c>
      <c r="Y18" s="265"/>
      <c r="Z18" s="266">
        <v>1.2</v>
      </c>
      <c r="AA18" s="262">
        <v>1.1309733552923256</v>
      </c>
      <c r="AB18" s="267">
        <v>3.036479846616301</v>
      </c>
      <c r="AC18" s="258">
        <v>0.21863181917474736</v>
      </c>
      <c r="AD18" s="258">
        <v>0.27989999999999998</v>
      </c>
      <c r="AE18" s="259">
        <v>0.61</v>
      </c>
      <c r="AF18" s="258">
        <v>0.73199999999999998</v>
      </c>
      <c r="AG18" s="258">
        <v>0.33587999999999996</v>
      </c>
      <c r="AH18" s="258">
        <v>3.4264060047849432</v>
      </c>
      <c r="AI18" s="258">
        <v>0</v>
      </c>
      <c r="AJ18" s="267">
        <v>3.4264060047849432</v>
      </c>
      <c r="AK18" s="258">
        <v>315.80200000000002</v>
      </c>
      <c r="AL18" s="268">
        <v>314.94900000000001</v>
      </c>
      <c r="AM18" s="257">
        <v>1.8</v>
      </c>
      <c r="AN18" s="257">
        <v>1.8</v>
      </c>
      <c r="AO18" s="269">
        <v>314.00200000000001</v>
      </c>
      <c r="AP18" s="269">
        <v>313.149</v>
      </c>
      <c r="AQ18" s="258">
        <v>314.73400000000004</v>
      </c>
      <c r="AR18" s="258">
        <v>313.88100000000003</v>
      </c>
      <c r="AS18" s="257">
        <v>0.47399999999998954</v>
      </c>
      <c r="AT18" s="270">
        <v>0.47399999999998954</v>
      </c>
      <c r="AU18" s="271"/>
      <c r="AV18" s="404" t="s">
        <v>367</v>
      </c>
      <c r="AW18" s="272">
        <v>0</v>
      </c>
      <c r="AX18" s="273">
        <v>0</v>
      </c>
      <c r="AY18" s="273">
        <v>1</v>
      </c>
      <c r="AZ18" s="273">
        <v>0</v>
      </c>
      <c r="BA18" s="273">
        <v>1200</v>
      </c>
      <c r="BB18" s="274" t="s">
        <v>1358</v>
      </c>
      <c r="BC18" s="275">
        <v>1.8</v>
      </c>
      <c r="BD18" s="275">
        <v>1.8</v>
      </c>
      <c r="BE18" s="275">
        <v>0</v>
      </c>
      <c r="BF18" s="276">
        <v>4</v>
      </c>
      <c r="BG18" s="276" t="s">
        <v>1359</v>
      </c>
      <c r="BH18" s="275">
        <v>1.8</v>
      </c>
      <c r="BI18" s="275">
        <v>2.052</v>
      </c>
      <c r="BJ18" s="275">
        <v>2.4</v>
      </c>
      <c r="BK18" s="275">
        <v>3.4260000000000002</v>
      </c>
      <c r="BL18" s="275" t="s">
        <v>1085</v>
      </c>
      <c r="BM18" s="275" t="s">
        <v>1085</v>
      </c>
      <c r="BN18" s="275" t="s">
        <v>1085</v>
      </c>
      <c r="BO18" s="275" t="s">
        <v>1085</v>
      </c>
      <c r="BP18" s="275" t="s">
        <v>1085</v>
      </c>
      <c r="BQ18" s="275">
        <v>0</v>
      </c>
      <c r="BR18" s="275" t="s">
        <v>1085</v>
      </c>
      <c r="BS18" s="275" t="s">
        <v>1085</v>
      </c>
      <c r="BT18" s="275" t="s">
        <v>1085</v>
      </c>
      <c r="BU18" s="275" t="s">
        <v>1085</v>
      </c>
      <c r="BV18" s="275" t="s">
        <v>1085</v>
      </c>
      <c r="BW18" s="275" t="s">
        <v>1085</v>
      </c>
      <c r="BX18" s="275">
        <v>0</v>
      </c>
      <c r="BY18" s="54">
        <v>0</v>
      </c>
      <c r="BZ18" s="54">
        <v>0.15</v>
      </c>
      <c r="CA18" s="275">
        <v>0</v>
      </c>
      <c r="CB18" s="275">
        <v>0</v>
      </c>
      <c r="CC18" s="275" t="s">
        <v>1085</v>
      </c>
      <c r="CD18" s="275" t="s">
        <v>1085</v>
      </c>
      <c r="CE18" s="275" t="s">
        <v>1085</v>
      </c>
      <c r="CF18" s="275">
        <v>0</v>
      </c>
      <c r="CG18" s="275" t="s">
        <v>1085</v>
      </c>
      <c r="CH18" s="275" t="s">
        <v>1085</v>
      </c>
      <c r="CI18" s="275" t="s">
        <v>1085</v>
      </c>
      <c r="CJ18" s="275">
        <v>0</v>
      </c>
      <c r="CK18" s="274" t="s">
        <v>214</v>
      </c>
      <c r="CL18" s="275" t="s">
        <v>1085</v>
      </c>
      <c r="CM18" s="275" t="s">
        <v>1085</v>
      </c>
      <c r="CN18" s="277">
        <v>0.1</v>
      </c>
      <c r="CO18" s="275">
        <v>0</v>
      </c>
      <c r="CP18" s="275" t="s">
        <v>1085</v>
      </c>
      <c r="CQ18" s="275" t="s">
        <v>1085</v>
      </c>
      <c r="CR18" s="275" t="s">
        <v>1085</v>
      </c>
      <c r="CS18" s="275" t="s">
        <v>1085</v>
      </c>
      <c r="CT18" s="275" t="s">
        <v>1085</v>
      </c>
      <c r="CU18" s="275">
        <v>0</v>
      </c>
      <c r="CV18" s="275" t="s">
        <v>1085</v>
      </c>
      <c r="CW18" s="275" t="s">
        <v>1085</v>
      </c>
      <c r="CX18" s="275" t="s">
        <v>1085</v>
      </c>
      <c r="CY18" s="275" t="s">
        <v>1085</v>
      </c>
      <c r="CZ18" s="275" t="s">
        <v>1085</v>
      </c>
      <c r="DA18" s="275" t="s">
        <v>1085</v>
      </c>
      <c r="DB18" s="275">
        <v>0</v>
      </c>
      <c r="DC18" s="275">
        <v>0</v>
      </c>
      <c r="DD18" s="275">
        <v>0</v>
      </c>
      <c r="DE18" s="275">
        <v>0</v>
      </c>
      <c r="DF18" s="275">
        <v>0</v>
      </c>
      <c r="DG18" s="275">
        <v>0</v>
      </c>
      <c r="DH18" s="405">
        <v>0</v>
      </c>
    </row>
    <row r="19" spans="1:112" ht="16.5" hidden="1" customHeight="1" x14ac:dyDescent="0.2">
      <c r="A19" s="647"/>
      <c r="B19" s="255" t="s">
        <v>368</v>
      </c>
      <c r="C19" s="256">
        <v>96</v>
      </c>
      <c r="D19" s="257">
        <v>1.88</v>
      </c>
      <c r="E19" s="257">
        <v>17.25</v>
      </c>
      <c r="F19" s="258">
        <v>0.6</v>
      </c>
      <c r="G19" s="258">
        <v>0.65235145457823485</v>
      </c>
      <c r="H19" s="258">
        <v>0.65235145457823485</v>
      </c>
      <c r="I19" s="258">
        <v>0.53807283963089592</v>
      </c>
      <c r="J19" s="257">
        <v>145.12216060821092</v>
      </c>
      <c r="K19" s="258">
        <v>2.4428136422307705</v>
      </c>
      <c r="L19" s="258">
        <v>0</v>
      </c>
      <c r="M19" s="258">
        <v>13.041324624502725</v>
      </c>
      <c r="N19" s="258">
        <v>0.52435406824021302</v>
      </c>
      <c r="O19" s="258">
        <v>0.82200000000000273</v>
      </c>
      <c r="P19" s="259">
        <v>8.5625000000000284E-3</v>
      </c>
      <c r="Q19" s="258">
        <v>0.26623128390688972</v>
      </c>
      <c r="R19" s="258">
        <v>0.82200000000000273</v>
      </c>
      <c r="S19" s="260">
        <v>8.5625000000000284E-3</v>
      </c>
      <c r="T19" s="261">
        <v>1.0951212015555878</v>
      </c>
      <c r="U19" s="262">
        <v>0.94192051374434016</v>
      </c>
      <c r="V19" s="263">
        <v>0</v>
      </c>
      <c r="W19" s="263">
        <v>0</v>
      </c>
      <c r="X19" s="264">
        <v>1</v>
      </c>
      <c r="Y19" s="265"/>
      <c r="Z19" s="266">
        <v>1.2</v>
      </c>
      <c r="AA19" s="262">
        <v>1.1309733552923256</v>
      </c>
      <c r="AB19" s="267">
        <v>3.0513732931829192</v>
      </c>
      <c r="AC19" s="258">
        <v>0.24351813781683171</v>
      </c>
      <c r="AD19" s="258">
        <v>0.28989999999999999</v>
      </c>
      <c r="AE19" s="259">
        <v>0.66</v>
      </c>
      <c r="AF19" s="258">
        <v>0.79200000000000004</v>
      </c>
      <c r="AG19" s="258">
        <v>0.34787999999999997</v>
      </c>
      <c r="AH19" s="258">
        <v>3.3635680278849089</v>
      </c>
      <c r="AI19" s="258">
        <v>0</v>
      </c>
      <c r="AJ19" s="267">
        <v>3.3635680278849089</v>
      </c>
      <c r="AK19" s="258">
        <v>314.94900000000001</v>
      </c>
      <c r="AL19" s="268">
        <v>314.12700000000001</v>
      </c>
      <c r="AM19" s="257">
        <v>1.8</v>
      </c>
      <c r="AN19" s="257">
        <v>1.8</v>
      </c>
      <c r="AO19" s="269">
        <v>313.149</v>
      </c>
      <c r="AP19" s="269">
        <v>312.327</v>
      </c>
      <c r="AQ19" s="258">
        <v>313.94099999999997</v>
      </c>
      <c r="AR19" s="258">
        <v>313.11899999999997</v>
      </c>
      <c r="AS19" s="257">
        <v>0.47399999999998954</v>
      </c>
      <c r="AT19" s="270">
        <v>0.47399999999998954</v>
      </c>
      <c r="AU19" s="271"/>
      <c r="AV19" s="404" t="s">
        <v>368</v>
      </c>
      <c r="AW19" s="272">
        <v>0</v>
      </c>
      <c r="AX19" s="273">
        <v>0</v>
      </c>
      <c r="AY19" s="273">
        <v>1</v>
      </c>
      <c r="AZ19" s="273">
        <v>0</v>
      </c>
      <c r="BA19" s="273">
        <v>1200</v>
      </c>
      <c r="BB19" s="274" t="s">
        <v>1358</v>
      </c>
      <c r="BC19" s="275">
        <v>1.8</v>
      </c>
      <c r="BD19" s="275">
        <v>1.8</v>
      </c>
      <c r="BE19" s="275">
        <v>0</v>
      </c>
      <c r="BF19" s="276">
        <v>4</v>
      </c>
      <c r="BG19" s="276" t="s">
        <v>1359</v>
      </c>
      <c r="BH19" s="275">
        <v>1.8</v>
      </c>
      <c r="BI19" s="275">
        <v>2.052</v>
      </c>
      <c r="BJ19" s="275">
        <v>2.4</v>
      </c>
      <c r="BK19" s="275">
        <v>3.4260000000000002</v>
      </c>
      <c r="BL19" s="275" t="s">
        <v>1085</v>
      </c>
      <c r="BM19" s="275" t="s">
        <v>1085</v>
      </c>
      <c r="BN19" s="275" t="s">
        <v>1085</v>
      </c>
      <c r="BO19" s="275" t="s">
        <v>1085</v>
      </c>
      <c r="BP19" s="275" t="s">
        <v>1085</v>
      </c>
      <c r="BQ19" s="275">
        <v>0</v>
      </c>
      <c r="BR19" s="275" t="s">
        <v>1085</v>
      </c>
      <c r="BS19" s="275" t="s">
        <v>1085</v>
      </c>
      <c r="BT19" s="275" t="s">
        <v>1085</v>
      </c>
      <c r="BU19" s="275" t="s">
        <v>1085</v>
      </c>
      <c r="BV19" s="275" t="s">
        <v>1085</v>
      </c>
      <c r="BW19" s="275" t="s">
        <v>1085</v>
      </c>
      <c r="BX19" s="275">
        <v>0</v>
      </c>
      <c r="BY19" s="54">
        <v>0</v>
      </c>
      <c r="BZ19" s="54">
        <v>0.15</v>
      </c>
      <c r="CA19" s="275">
        <v>0</v>
      </c>
      <c r="CB19" s="275">
        <v>0</v>
      </c>
      <c r="CC19" s="275" t="s">
        <v>1085</v>
      </c>
      <c r="CD19" s="275" t="s">
        <v>1085</v>
      </c>
      <c r="CE19" s="275" t="s">
        <v>1085</v>
      </c>
      <c r="CF19" s="275">
        <v>0</v>
      </c>
      <c r="CG19" s="275" t="s">
        <v>1085</v>
      </c>
      <c r="CH19" s="275" t="s">
        <v>1085</v>
      </c>
      <c r="CI19" s="275" t="s">
        <v>1085</v>
      </c>
      <c r="CJ19" s="275">
        <v>0</v>
      </c>
      <c r="CK19" s="274" t="s">
        <v>214</v>
      </c>
      <c r="CL19" s="275" t="s">
        <v>1085</v>
      </c>
      <c r="CM19" s="275" t="s">
        <v>1085</v>
      </c>
      <c r="CN19" s="277">
        <v>0.1</v>
      </c>
      <c r="CO19" s="275">
        <v>0</v>
      </c>
      <c r="CP19" s="275" t="s">
        <v>1085</v>
      </c>
      <c r="CQ19" s="275" t="s">
        <v>1085</v>
      </c>
      <c r="CR19" s="275" t="s">
        <v>1085</v>
      </c>
      <c r="CS19" s="275" t="s">
        <v>1085</v>
      </c>
      <c r="CT19" s="275" t="s">
        <v>1085</v>
      </c>
      <c r="CU19" s="275">
        <v>0</v>
      </c>
      <c r="CV19" s="275" t="s">
        <v>1085</v>
      </c>
      <c r="CW19" s="275" t="s">
        <v>1085</v>
      </c>
      <c r="CX19" s="275" t="s">
        <v>1085</v>
      </c>
      <c r="CY19" s="275" t="s">
        <v>1085</v>
      </c>
      <c r="CZ19" s="275" t="s">
        <v>1085</v>
      </c>
      <c r="DA19" s="275" t="s">
        <v>1085</v>
      </c>
      <c r="DB19" s="275">
        <v>0</v>
      </c>
      <c r="DC19" s="275">
        <v>0</v>
      </c>
      <c r="DD19" s="275">
        <v>0</v>
      </c>
      <c r="DE19" s="275">
        <v>0</v>
      </c>
      <c r="DF19" s="275">
        <v>0</v>
      </c>
      <c r="DG19" s="275">
        <v>0</v>
      </c>
      <c r="DH19" s="405">
        <v>0</v>
      </c>
    </row>
    <row r="20" spans="1:112" ht="16.5" customHeight="1" x14ac:dyDescent="0.2">
      <c r="A20" s="647"/>
      <c r="B20" s="255" t="s">
        <v>212</v>
      </c>
      <c r="C20" s="256">
        <v>96</v>
      </c>
      <c r="D20" s="257">
        <v>1.89</v>
      </c>
      <c r="E20" s="257">
        <v>20.66</v>
      </c>
      <c r="F20" s="258">
        <v>0.6</v>
      </c>
      <c r="G20" s="258">
        <v>0.63493673209222579</v>
      </c>
      <c r="H20" s="258">
        <v>0.63493673209222579</v>
      </c>
      <c r="I20" s="258">
        <v>0.54220185439699586</v>
      </c>
      <c r="J20" s="257">
        <v>142.74920506487547</v>
      </c>
      <c r="K20" s="258">
        <v>2.8225410220217237</v>
      </c>
      <c r="L20" s="258">
        <v>0</v>
      </c>
      <c r="M20" s="258">
        <v>13.565678692742937</v>
      </c>
      <c r="N20" s="258">
        <v>0.52301320339407387</v>
      </c>
      <c r="O20" s="258">
        <v>0.78100000000000591</v>
      </c>
      <c r="P20" s="259">
        <v>8.1354166666667282E-3</v>
      </c>
      <c r="Q20" s="258">
        <v>0.25820922224690496</v>
      </c>
      <c r="R20" s="258">
        <v>0.78100000000000591</v>
      </c>
      <c r="S20" s="260">
        <v>8.1354166666667282E-3</v>
      </c>
      <c r="T20" s="261">
        <v>1.1672390437142095</v>
      </c>
      <c r="U20" s="262">
        <v>1.0700633598795857</v>
      </c>
      <c r="V20" s="263">
        <v>0</v>
      </c>
      <c r="W20" s="263">
        <v>0</v>
      </c>
      <c r="X20" s="264">
        <v>1</v>
      </c>
      <c r="Y20" s="265"/>
      <c r="Z20" s="266">
        <v>1.2</v>
      </c>
      <c r="AA20" s="262">
        <v>1.1309733552923256</v>
      </c>
      <c r="AB20" s="267">
        <v>3.0591961916388768</v>
      </c>
      <c r="AC20" s="258">
        <v>0.28866333958987461</v>
      </c>
      <c r="AD20" s="258">
        <v>0.3024</v>
      </c>
      <c r="AE20" s="259">
        <v>0.76</v>
      </c>
      <c r="AF20" s="258">
        <v>0.91199999999999992</v>
      </c>
      <c r="AG20" s="258">
        <v>0.36287999999999998</v>
      </c>
      <c r="AH20" s="258">
        <v>3.2786104882149005</v>
      </c>
      <c r="AI20" s="258">
        <v>0</v>
      </c>
      <c r="AJ20" s="267">
        <v>3.2786104882149005</v>
      </c>
      <c r="AK20" s="258">
        <v>314.12700000000001</v>
      </c>
      <c r="AL20" s="268">
        <v>313.346</v>
      </c>
      <c r="AM20" s="257">
        <v>1.8</v>
      </c>
      <c r="AN20" s="257">
        <v>1.8</v>
      </c>
      <c r="AO20" s="269">
        <v>312.327</v>
      </c>
      <c r="AP20" s="269">
        <v>311.54599999999999</v>
      </c>
      <c r="AQ20" s="258">
        <v>313.23899999999998</v>
      </c>
      <c r="AR20" s="258">
        <v>312.45799999999997</v>
      </c>
      <c r="AS20" s="257">
        <v>0.47399999999998954</v>
      </c>
      <c r="AT20" s="270">
        <v>0.47399999999998954</v>
      </c>
      <c r="AU20" s="271"/>
      <c r="AV20" s="404" t="s">
        <v>212</v>
      </c>
      <c r="AW20" s="272">
        <v>96</v>
      </c>
      <c r="AX20" s="273">
        <v>0</v>
      </c>
      <c r="AY20" s="273">
        <v>1</v>
      </c>
      <c r="AZ20" s="273">
        <v>0</v>
      </c>
      <c r="BA20" s="273">
        <v>1200</v>
      </c>
      <c r="BB20" s="274" t="s">
        <v>1358</v>
      </c>
      <c r="BC20" s="275">
        <v>1.8</v>
      </c>
      <c r="BD20" s="275">
        <v>1.8</v>
      </c>
      <c r="BE20" s="275">
        <v>0</v>
      </c>
      <c r="BF20" s="276">
        <v>4</v>
      </c>
      <c r="BG20" s="276" t="s">
        <v>1359</v>
      </c>
      <c r="BH20" s="275">
        <v>1.8</v>
      </c>
      <c r="BI20" s="275">
        <v>2.052</v>
      </c>
      <c r="BJ20" s="275">
        <v>2.4</v>
      </c>
      <c r="BK20" s="275">
        <v>3.4260000000000002</v>
      </c>
      <c r="BL20" s="275" t="s">
        <v>1085</v>
      </c>
      <c r="BM20" s="275" t="s">
        <v>1085</v>
      </c>
      <c r="BN20" s="275" t="s">
        <v>1085</v>
      </c>
      <c r="BO20" s="275" t="s">
        <v>1085</v>
      </c>
      <c r="BP20" s="275" t="s">
        <v>1085</v>
      </c>
      <c r="BQ20" s="275">
        <v>573.83769600000005</v>
      </c>
      <c r="BR20" s="275" t="s">
        <v>1085</v>
      </c>
      <c r="BS20" s="275" t="s">
        <v>1085</v>
      </c>
      <c r="BT20" s="275" t="s">
        <v>1085</v>
      </c>
      <c r="BU20" s="275" t="s">
        <v>1085</v>
      </c>
      <c r="BV20" s="275" t="s">
        <v>1085</v>
      </c>
      <c r="BW20" s="275" t="s">
        <v>1085</v>
      </c>
      <c r="BX20" s="275">
        <v>158.9623765904154</v>
      </c>
      <c r="BY20" s="54">
        <v>0</v>
      </c>
      <c r="BZ20" s="54">
        <v>0.15</v>
      </c>
      <c r="CA20" s="275">
        <v>0</v>
      </c>
      <c r="CB20" s="275">
        <v>182.80673307897769</v>
      </c>
      <c r="CC20" s="275" t="s">
        <v>1085</v>
      </c>
      <c r="CD20" s="275" t="s">
        <v>1085</v>
      </c>
      <c r="CE20" s="275" t="s">
        <v>1085</v>
      </c>
      <c r="CF20" s="275">
        <v>393.98400000000004</v>
      </c>
      <c r="CG20" s="275" t="s">
        <v>1085</v>
      </c>
      <c r="CH20" s="275" t="s">
        <v>1085</v>
      </c>
      <c r="CI20" s="275" t="s">
        <v>1085</v>
      </c>
      <c r="CJ20" s="275">
        <v>230.39999999999998</v>
      </c>
      <c r="CK20" s="274" t="s">
        <v>214</v>
      </c>
      <c r="CL20" s="275" t="s">
        <v>1085</v>
      </c>
      <c r="CM20" s="275" t="s">
        <v>1085</v>
      </c>
      <c r="CN20" s="277">
        <v>0.1</v>
      </c>
      <c r="CO20" s="275">
        <v>0</v>
      </c>
      <c r="CP20" s="275" t="s">
        <v>1085</v>
      </c>
      <c r="CQ20" s="275" t="s">
        <v>1085</v>
      </c>
      <c r="CR20" s="275" t="s">
        <v>1085</v>
      </c>
      <c r="CS20" s="275" t="s">
        <v>1085</v>
      </c>
      <c r="CT20" s="275" t="s">
        <v>1085</v>
      </c>
      <c r="CU20" s="275">
        <v>414.87531940958468</v>
      </c>
      <c r="CV20" s="275" t="s">
        <v>1085</v>
      </c>
      <c r="CW20" s="275" t="s">
        <v>1085</v>
      </c>
      <c r="CX20" s="275" t="s">
        <v>1085</v>
      </c>
      <c r="CY20" s="275" t="s">
        <v>1085</v>
      </c>
      <c r="CZ20" s="275" t="s">
        <v>1085</v>
      </c>
      <c r="DA20" s="275" t="s">
        <v>1085</v>
      </c>
      <c r="DB20" s="275">
        <v>87.168000000000006</v>
      </c>
      <c r="DC20" s="275">
        <v>0</v>
      </c>
      <c r="DD20" s="275">
        <v>0</v>
      </c>
      <c r="DE20" s="275">
        <v>0</v>
      </c>
      <c r="DF20" s="275">
        <v>0</v>
      </c>
      <c r="DG20" s="275">
        <v>96</v>
      </c>
      <c r="DH20" s="405">
        <v>0</v>
      </c>
    </row>
    <row r="21" spans="1:112" ht="16.5" customHeight="1" x14ac:dyDescent="0.2">
      <c r="A21" s="647"/>
      <c r="B21" s="255" t="s">
        <v>215</v>
      </c>
      <c r="C21" s="256">
        <v>75</v>
      </c>
      <c r="D21" s="257">
        <v>1.77</v>
      </c>
      <c r="E21" s="257">
        <v>22.43</v>
      </c>
      <c r="F21" s="258">
        <v>0.6</v>
      </c>
      <c r="G21" s="258">
        <v>0.6271560396288518</v>
      </c>
      <c r="H21" s="258">
        <v>0.6271560396288518</v>
      </c>
      <c r="I21" s="258">
        <v>0.54613910986389935</v>
      </c>
      <c r="J21" s="257">
        <v>140.46605709517377</v>
      </c>
      <c r="K21" s="258">
        <v>3.000021371064618</v>
      </c>
      <c r="L21" s="258">
        <v>0</v>
      </c>
      <c r="M21" s="258">
        <v>14.088691896137011</v>
      </c>
      <c r="N21" s="258">
        <v>0.54751926657664207</v>
      </c>
      <c r="O21" s="258">
        <v>0.43200000000001637</v>
      </c>
      <c r="P21" s="259">
        <v>5.7600000000002181E-3</v>
      </c>
      <c r="Q21" s="258">
        <v>0.23673820003496984</v>
      </c>
      <c r="R21" s="258">
        <v>0.23200000000002774</v>
      </c>
      <c r="S21" s="260">
        <v>3.0933333333337033E-3</v>
      </c>
      <c r="T21" s="261">
        <v>1.2741141395898878</v>
      </c>
      <c r="U21" s="262">
        <v>1.2749893352083601</v>
      </c>
      <c r="V21" s="263">
        <v>0</v>
      </c>
      <c r="W21" s="263">
        <v>0</v>
      </c>
      <c r="X21" s="264">
        <v>2</v>
      </c>
      <c r="Y21" s="265"/>
      <c r="Z21" s="266">
        <v>1</v>
      </c>
      <c r="AA21" s="262">
        <v>1.5707963267948966</v>
      </c>
      <c r="AB21" s="267">
        <v>2.2830246829771137</v>
      </c>
      <c r="AC21" s="258">
        <v>0.29646564255453667</v>
      </c>
      <c r="AD21" s="258">
        <v>0.30309999999999998</v>
      </c>
      <c r="AE21" s="259">
        <v>0.77</v>
      </c>
      <c r="AF21" s="258">
        <v>0.77</v>
      </c>
      <c r="AG21" s="258">
        <v>0.30309999999999998</v>
      </c>
      <c r="AH21" s="258">
        <v>3.3930571243694359</v>
      </c>
      <c r="AI21" s="258">
        <v>0</v>
      </c>
      <c r="AJ21" s="267">
        <v>3.3930571243694359</v>
      </c>
      <c r="AK21" s="258">
        <v>313.346</v>
      </c>
      <c r="AL21" s="268">
        <v>313.11399999999998</v>
      </c>
      <c r="AM21" s="257">
        <v>1.8</v>
      </c>
      <c r="AN21" s="257">
        <v>2</v>
      </c>
      <c r="AO21" s="269">
        <v>311.54599999999999</v>
      </c>
      <c r="AP21" s="269">
        <v>311.11399999999998</v>
      </c>
      <c r="AQ21" s="258">
        <v>312.31599999999997</v>
      </c>
      <c r="AR21" s="258">
        <v>311.88399999999996</v>
      </c>
      <c r="AS21" s="257">
        <v>0.69499999999999318</v>
      </c>
      <c r="AT21" s="270">
        <v>0.89499999999998181</v>
      </c>
      <c r="AU21" s="271"/>
      <c r="AV21" s="404" t="s">
        <v>215</v>
      </c>
      <c r="AW21" s="272">
        <v>75</v>
      </c>
      <c r="AX21" s="273">
        <v>0</v>
      </c>
      <c r="AY21" s="273">
        <v>2</v>
      </c>
      <c r="AZ21" s="273">
        <v>0</v>
      </c>
      <c r="BA21" s="273">
        <v>1000</v>
      </c>
      <c r="BB21" s="274" t="s">
        <v>1358</v>
      </c>
      <c r="BC21" s="275">
        <v>1.8</v>
      </c>
      <c r="BD21" s="275">
        <v>2</v>
      </c>
      <c r="BE21" s="275">
        <v>0</v>
      </c>
      <c r="BF21" s="276">
        <v>4</v>
      </c>
      <c r="BG21" s="276" t="s">
        <v>1359</v>
      </c>
      <c r="BH21" s="275">
        <v>1.9</v>
      </c>
      <c r="BI21" s="275">
        <v>2.11</v>
      </c>
      <c r="BJ21" s="275">
        <v>2.82</v>
      </c>
      <c r="BK21" s="275">
        <v>3.875</v>
      </c>
      <c r="BL21" s="275" t="s">
        <v>1085</v>
      </c>
      <c r="BM21" s="275" t="s">
        <v>1085</v>
      </c>
      <c r="BN21" s="275" t="s">
        <v>1085</v>
      </c>
      <c r="BO21" s="275" t="s">
        <v>1085</v>
      </c>
      <c r="BP21" s="275" t="s">
        <v>1085</v>
      </c>
      <c r="BQ21" s="275">
        <v>529.74187500000005</v>
      </c>
      <c r="BR21" s="275" t="s">
        <v>1085</v>
      </c>
      <c r="BS21" s="275" t="s">
        <v>1085</v>
      </c>
      <c r="BT21" s="275" t="s">
        <v>1085</v>
      </c>
      <c r="BU21" s="275" t="s">
        <v>1085</v>
      </c>
      <c r="BV21" s="275" t="s">
        <v>1085</v>
      </c>
      <c r="BW21" s="275" t="s">
        <v>1085</v>
      </c>
      <c r="BX21" s="275">
        <v>172.4852176545306</v>
      </c>
      <c r="BY21" s="54">
        <v>0</v>
      </c>
      <c r="BZ21" s="54">
        <v>0.15</v>
      </c>
      <c r="CA21" s="275">
        <v>0</v>
      </c>
      <c r="CB21" s="275">
        <v>198.35800030271017</v>
      </c>
      <c r="CC21" s="275" t="s">
        <v>1085</v>
      </c>
      <c r="CD21" s="275" t="s">
        <v>1085</v>
      </c>
      <c r="CE21" s="275" t="s">
        <v>1085</v>
      </c>
      <c r="CF21" s="275">
        <v>316.5</v>
      </c>
      <c r="CG21" s="275" t="s">
        <v>1085</v>
      </c>
      <c r="CH21" s="275" t="s">
        <v>1085</v>
      </c>
      <c r="CI21" s="275" t="s">
        <v>1085</v>
      </c>
      <c r="CJ21" s="275">
        <v>211.5</v>
      </c>
      <c r="CK21" s="274" t="s">
        <v>214</v>
      </c>
      <c r="CL21" s="275" t="s">
        <v>1085</v>
      </c>
      <c r="CM21" s="275" t="s">
        <v>1085</v>
      </c>
      <c r="CN21" s="277">
        <v>0.1</v>
      </c>
      <c r="CO21" s="275">
        <v>0</v>
      </c>
      <c r="CP21" s="275" t="s">
        <v>1085</v>
      </c>
      <c r="CQ21" s="275" t="s">
        <v>1085</v>
      </c>
      <c r="CR21" s="275" t="s">
        <v>1085</v>
      </c>
      <c r="CS21" s="275" t="s">
        <v>1085</v>
      </c>
      <c r="CT21" s="275" t="s">
        <v>1085</v>
      </c>
      <c r="CU21" s="275">
        <v>357.25665734546942</v>
      </c>
      <c r="CV21" s="275" t="s">
        <v>1085</v>
      </c>
      <c r="CW21" s="275" t="s">
        <v>1085</v>
      </c>
      <c r="CX21" s="275" t="s">
        <v>1085</v>
      </c>
      <c r="CY21" s="275" t="s">
        <v>1085</v>
      </c>
      <c r="CZ21" s="275" t="s">
        <v>1085</v>
      </c>
      <c r="DA21" s="275" t="s">
        <v>1085</v>
      </c>
      <c r="DB21" s="275">
        <v>99.75</v>
      </c>
      <c r="DC21" s="275">
        <v>0</v>
      </c>
      <c r="DD21" s="275">
        <v>0</v>
      </c>
      <c r="DE21" s="275">
        <v>0</v>
      </c>
      <c r="DF21" s="275">
        <v>150</v>
      </c>
      <c r="DG21" s="275">
        <v>0</v>
      </c>
      <c r="DH21" s="405">
        <v>0</v>
      </c>
    </row>
    <row r="22" spans="1:112" ht="12.75" x14ac:dyDescent="0.2">
      <c r="A22" s="647"/>
      <c r="B22" s="255" t="s">
        <v>216</v>
      </c>
      <c r="C22" s="256">
        <v>23</v>
      </c>
      <c r="D22" s="257">
        <v>1.1299999999999999</v>
      </c>
      <c r="E22" s="257">
        <v>24.919999999999998</v>
      </c>
      <c r="F22" s="258">
        <v>0.6</v>
      </c>
      <c r="G22" s="258">
        <v>0.61733058519136541</v>
      </c>
      <c r="H22" s="258">
        <v>0.61733058519136541</v>
      </c>
      <c r="I22" s="258">
        <v>0.55008137074324426</v>
      </c>
      <c r="J22" s="257">
        <v>138.16065204327663</v>
      </c>
      <c r="K22" s="258">
        <v>3.25028871235126</v>
      </c>
      <c r="L22" s="258">
        <v>0</v>
      </c>
      <c r="M22" s="258">
        <v>14.636211162713654</v>
      </c>
      <c r="N22" s="258">
        <v>0.17623886920122514</v>
      </c>
      <c r="O22" s="258">
        <v>0.12299999999999045</v>
      </c>
      <c r="P22" s="259">
        <v>5.3478260869561063E-3</v>
      </c>
      <c r="Q22" s="258">
        <v>0.14738468077676259</v>
      </c>
      <c r="R22" s="258">
        <v>0.12299999999999045</v>
      </c>
      <c r="S22" s="260">
        <v>5.3478260869561063E-3</v>
      </c>
      <c r="T22" s="261">
        <v>1.3313842300829939</v>
      </c>
      <c r="U22" s="262">
        <v>1.3921841930242502</v>
      </c>
      <c r="V22" s="263">
        <v>0</v>
      </c>
      <c r="W22" s="263">
        <v>0</v>
      </c>
      <c r="X22" s="264">
        <v>2</v>
      </c>
      <c r="Y22" s="265"/>
      <c r="Z22" s="266">
        <v>1</v>
      </c>
      <c r="AA22" s="262">
        <v>1.5707963267948966</v>
      </c>
      <c r="AB22" s="267">
        <v>2.1750782620810671</v>
      </c>
      <c r="AC22" s="258">
        <v>0.33334547587562952</v>
      </c>
      <c r="AD22" s="258">
        <v>0.29799999999999999</v>
      </c>
      <c r="AE22" s="259">
        <v>0.9</v>
      </c>
      <c r="AF22" s="258">
        <v>0.9</v>
      </c>
      <c r="AG22" s="258">
        <v>0.29799999999999999</v>
      </c>
      <c r="AH22" s="258">
        <v>3.2694038321982277</v>
      </c>
      <c r="AI22" s="258">
        <v>0</v>
      </c>
      <c r="AJ22" s="267">
        <v>3.2694038321982277</v>
      </c>
      <c r="AK22" s="258">
        <v>313.11399999999998</v>
      </c>
      <c r="AL22" s="268">
        <v>312.99099999999999</v>
      </c>
      <c r="AM22" s="257">
        <v>2</v>
      </c>
      <c r="AN22" s="257">
        <v>2</v>
      </c>
      <c r="AO22" s="269">
        <v>311.11399999999998</v>
      </c>
      <c r="AP22" s="269">
        <v>310.99099999999999</v>
      </c>
      <c r="AQ22" s="258">
        <v>312.01399999999995</v>
      </c>
      <c r="AR22" s="258">
        <v>311.89099999999996</v>
      </c>
      <c r="AS22" s="257">
        <v>0.89499999999998181</v>
      </c>
      <c r="AT22" s="270">
        <v>0.89499999999998181</v>
      </c>
      <c r="AU22" s="271"/>
      <c r="AV22" s="404" t="s">
        <v>216</v>
      </c>
      <c r="AW22" s="272">
        <v>23</v>
      </c>
      <c r="AX22" s="273">
        <v>0</v>
      </c>
      <c r="AY22" s="273">
        <v>2</v>
      </c>
      <c r="AZ22" s="273">
        <v>0</v>
      </c>
      <c r="BA22" s="273">
        <v>1000</v>
      </c>
      <c r="BB22" s="274" t="s">
        <v>1358</v>
      </c>
      <c r="BC22" s="275">
        <v>2</v>
      </c>
      <c r="BD22" s="275">
        <v>2</v>
      </c>
      <c r="BE22" s="275">
        <v>0</v>
      </c>
      <c r="BF22" s="276">
        <v>4</v>
      </c>
      <c r="BG22" s="276" t="s">
        <v>1359</v>
      </c>
      <c r="BH22" s="275">
        <v>2</v>
      </c>
      <c r="BI22" s="275">
        <v>2.21</v>
      </c>
      <c r="BJ22" s="275">
        <v>2.82</v>
      </c>
      <c r="BK22" s="275">
        <v>3.9249999999999998</v>
      </c>
      <c r="BL22" s="275" t="s">
        <v>1085</v>
      </c>
      <c r="BM22" s="275" t="s">
        <v>1085</v>
      </c>
      <c r="BN22" s="275" t="s">
        <v>1085</v>
      </c>
      <c r="BO22" s="275" t="s">
        <v>1085</v>
      </c>
      <c r="BP22" s="275" t="s">
        <v>1085</v>
      </c>
      <c r="BQ22" s="275">
        <v>171.42417499999996</v>
      </c>
      <c r="BR22" s="275" t="s">
        <v>1085</v>
      </c>
      <c r="BS22" s="275" t="s">
        <v>1085</v>
      </c>
      <c r="BT22" s="275" t="s">
        <v>1085</v>
      </c>
      <c r="BU22" s="275" t="s">
        <v>1085</v>
      </c>
      <c r="BV22" s="275" t="s">
        <v>1085</v>
      </c>
      <c r="BW22" s="275" t="s">
        <v>1085</v>
      </c>
      <c r="BX22" s="275">
        <v>52.895466747389378</v>
      </c>
      <c r="BY22" s="54">
        <v>0</v>
      </c>
      <c r="BZ22" s="54">
        <v>0.15</v>
      </c>
      <c r="CA22" s="275">
        <v>0</v>
      </c>
      <c r="CB22" s="275">
        <v>60.829786759497779</v>
      </c>
      <c r="CC22" s="275" t="s">
        <v>1085</v>
      </c>
      <c r="CD22" s="275" t="s">
        <v>1085</v>
      </c>
      <c r="CE22" s="275" t="s">
        <v>1085</v>
      </c>
      <c r="CF22" s="275">
        <v>101.66</v>
      </c>
      <c r="CG22" s="275" t="s">
        <v>1085</v>
      </c>
      <c r="CH22" s="275" t="s">
        <v>1085</v>
      </c>
      <c r="CI22" s="275" t="s">
        <v>1085</v>
      </c>
      <c r="CJ22" s="275">
        <v>64.86</v>
      </c>
      <c r="CK22" s="274" t="s">
        <v>214</v>
      </c>
      <c r="CL22" s="275" t="s">
        <v>1085</v>
      </c>
      <c r="CM22" s="275" t="s">
        <v>1085</v>
      </c>
      <c r="CN22" s="277">
        <v>0.1</v>
      </c>
      <c r="CO22" s="275">
        <v>0</v>
      </c>
      <c r="CP22" s="275" t="s">
        <v>1085</v>
      </c>
      <c r="CQ22" s="275" t="s">
        <v>1085</v>
      </c>
      <c r="CR22" s="275" t="s">
        <v>1085</v>
      </c>
      <c r="CS22" s="275" t="s">
        <v>1085</v>
      </c>
      <c r="CT22" s="275" t="s">
        <v>1085</v>
      </c>
      <c r="CU22" s="275">
        <v>118.52870825261058</v>
      </c>
      <c r="CV22" s="275" t="s">
        <v>1085</v>
      </c>
      <c r="CW22" s="275" t="s">
        <v>1085</v>
      </c>
      <c r="CX22" s="275" t="s">
        <v>1085</v>
      </c>
      <c r="CY22" s="275" t="s">
        <v>1085</v>
      </c>
      <c r="CZ22" s="275" t="s">
        <v>1085</v>
      </c>
      <c r="DA22" s="275" t="s">
        <v>1085</v>
      </c>
      <c r="DB22" s="275">
        <v>30.590000000000003</v>
      </c>
      <c r="DC22" s="275">
        <v>0</v>
      </c>
      <c r="DD22" s="275">
        <v>0</v>
      </c>
      <c r="DE22" s="275">
        <v>0</v>
      </c>
      <c r="DF22" s="275">
        <v>46</v>
      </c>
      <c r="DG22" s="275">
        <v>0</v>
      </c>
      <c r="DH22" s="405">
        <v>0</v>
      </c>
    </row>
    <row r="23" spans="1:112" ht="12.75" hidden="1" x14ac:dyDescent="0.2">
      <c r="A23" s="647"/>
      <c r="B23" s="255" t="s">
        <v>217</v>
      </c>
      <c r="C23" s="256">
        <v>87</v>
      </c>
      <c r="D23" s="257">
        <v>0.68</v>
      </c>
      <c r="E23" s="257">
        <v>0.68</v>
      </c>
      <c r="F23" s="258">
        <v>0.6</v>
      </c>
      <c r="G23" s="258">
        <v>1</v>
      </c>
      <c r="H23" s="258">
        <v>1.0595553851101893</v>
      </c>
      <c r="I23" s="258">
        <v>0.46198185236311501</v>
      </c>
      <c r="J23" s="257">
        <v>184.36555448505223</v>
      </c>
      <c r="K23" s="258">
        <v>0.16101206072103838</v>
      </c>
      <c r="L23" s="258">
        <v>0</v>
      </c>
      <c r="M23" s="258">
        <v>6.4972143205952388</v>
      </c>
      <c r="N23" s="258">
        <v>0.76884049867043347</v>
      </c>
      <c r="O23" s="258">
        <v>1.3079999999999927</v>
      </c>
      <c r="P23" s="259">
        <v>1.5034482758620606E-2</v>
      </c>
      <c r="Q23" s="258">
        <v>0.16101206072103835</v>
      </c>
      <c r="R23" s="258">
        <v>0.80799999999999272</v>
      </c>
      <c r="S23" s="260">
        <v>9.2873563218389965E-3</v>
      </c>
      <c r="T23" s="261">
        <v>0.35541334560291687</v>
      </c>
      <c r="U23" s="262">
        <v>9.9210432753981934E-2</v>
      </c>
      <c r="V23" s="263">
        <v>0</v>
      </c>
      <c r="W23" s="263">
        <v>0</v>
      </c>
      <c r="X23" s="264">
        <v>1</v>
      </c>
      <c r="Y23" s="265"/>
      <c r="Z23" s="266">
        <v>0.6</v>
      </c>
      <c r="AA23" s="262">
        <v>0.28274333882308139</v>
      </c>
      <c r="AB23" s="267">
        <v>1.8859568434642884</v>
      </c>
      <c r="AC23" s="258">
        <v>7.6913413705066977E-2</v>
      </c>
      <c r="AD23" s="258">
        <v>0.1847</v>
      </c>
      <c r="AE23" s="259">
        <v>0.33</v>
      </c>
      <c r="AF23" s="258">
        <v>0.19800000000000001</v>
      </c>
      <c r="AG23" s="258">
        <v>0.11082</v>
      </c>
      <c r="AH23" s="258">
        <v>0.701935995930693</v>
      </c>
      <c r="AI23" s="258">
        <v>0</v>
      </c>
      <c r="AJ23" s="267">
        <v>0.701935995930693</v>
      </c>
      <c r="AK23" s="258">
        <v>313.79899999999998</v>
      </c>
      <c r="AL23" s="268">
        <v>312.99099999999999</v>
      </c>
      <c r="AM23" s="257">
        <v>1.5</v>
      </c>
      <c r="AN23" s="257">
        <v>2</v>
      </c>
      <c r="AO23" s="269">
        <v>312.29899999999998</v>
      </c>
      <c r="AP23" s="269">
        <v>310.99099999999999</v>
      </c>
      <c r="AQ23" s="258">
        <v>312.49699999999996</v>
      </c>
      <c r="AR23" s="258">
        <v>311.18899999999996</v>
      </c>
      <c r="AS23" s="257">
        <v>0.83699999999998909</v>
      </c>
      <c r="AT23" s="270">
        <v>1.3369999999999891</v>
      </c>
      <c r="AU23" s="271"/>
      <c r="AV23" s="404" t="s">
        <v>217</v>
      </c>
      <c r="AW23" s="272"/>
      <c r="AX23" s="273">
        <v>0</v>
      </c>
      <c r="AY23" s="273"/>
      <c r="AZ23" s="273">
        <v>0</v>
      </c>
      <c r="BA23" s="273">
        <v>600</v>
      </c>
      <c r="BB23" s="274" t="s">
        <v>213</v>
      </c>
      <c r="BC23" s="275">
        <v>1.5</v>
      </c>
      <c r="BD23" s="275">
        <v>2</v>
      </c>
      <c r="BE23" s="275">
        <v>0</v>
      </c>
      <c r="BF23" s="276">
        <v>4</v>
      </c>
      <c r="BG23" s="276" t="s">
        <v>1359</v>
      </c>
      <c r="BH23" s="275">
        <v>1.75</v>
      </c>
      <c r="BI23" s="275">
        <v>1.8759999999999999</v>
      </c>
      <c r="BJ23" s="275">
        <v>0</v>
      </c>
      <c r="BK23" s="275">
        <v>0.93799999999999994</v>
      </c>
      <c r="BL23" s="275" t="s">
        <v>1085</v>
      </c>
      <c r="BM23" s="275" t="s">
        <v>1085</v>
      </c>
      <c r="BN23" s="275" t="s">
        <v>1085</v>
      </c>
      <c r="BO23" s="275" t="s">
        <v>1085</v>
      </c>
      <c r="BP23" s="275">
        <v>0</v>
      </c>
      <c r="BQ23" s="275" t="s">
        <v>1085</v>
      </c>
      <c r="BR23" s="275" t="s">
        <v>1085</v>
      </c>
      <c r="BS23" s="275" t="s">
        <v>1085</v>
      </c>
      <c r="BT23" s="275" t="s">
        <v>1085</v>
      </c>
      <c r="BU23" s="275" t="s">
        <v>1085</v>
      </c>
      <c r="BV23" s="275" t="s">
        <v>1085</v>
      </c>
      <c r="BW23" s="275" t="s">
        <v>1085</v>
      </c>
      <c r="BX23" s="275">
        <v>0</v>
      </c>
      <c r="BY23" s="54">
        <v>0</v>
      </c>
      <c r="BZ23" s="54">
        <v>0.15</v>
      </c>
      <c r="CA23" s="275">
        <v>0</v>
      </c>
      <c r="CB23" s="275">
        <v>0</v>
      </c>
      <c r="CC23" s="275" t="s">
        <v>1085</v>
      </c>
      <c r="CD23" s="275" t="s">
        <v>1085</v>
      </c>
      <c r="CE23" s="275">
        <v>0</v>
      </c>
      <c r="CF23" s="275" t="s">
        <v>1085</v>
      </c>
      <c r="CG23" s="275" t="s">
        <v>1085</v>
      </c>
      <c r="CH23" s="275" t="s">
        <v>1085</v>
      </c>
      <c r="CI23" s="275">
        <v>0</v>
      </c>
      <c r="CJ23" s="275" t="s">
        <v>1085</v>
      </c>
      <c r="CK23" s="274" t="s">
        <v>214</v>
      </c>
      <c r="CL23" s="275" t="s">
        <v>1085</v>
      </c>
      <c r="CM23" s="275" t="s">
        <v>1085</v>
      </c>
      <c r="CN23" s="277">
        <v>1.1000000000000001</v>
      </c>
      <c r="CO23" s="275">
        <v>0</v>
      </c>
      <c r="CP23" s="275" t="s">
        <v>1085</v>
      </c>
      <c r="CQ23" s="275" t="s">
        <v>1085</v>
      </c>
      <c r="CR23" s="275" t="s">
        <v>1085</v>
      </c>
      <c r="CS23" s="275" t="s">
        <v>1085</v>
      </c>
      <c r="CT23" s="275">
        <v>0</v>
      </c>
      <c r="CU23" s="275" t="s">
        <v>1085</v>
      </c>
      <c r="CV23" s="275" t="s">
        <v>1085</v>
      </c>
      <c r="CW23" s="275" t="s">
        <v>1085</v>
      </c>
      <c r="CX23" s="275" t="s">
        <v>1085</v>
      </c>
      <c r="CY23" s="275" t="s">
        <v>1085</v>
      </c>
      <c r="CZ23" s="275" t="s">
        <v>1085</v>
      </c>
      <c r="DA23" s="275" t="s">
        <v>1085</v>
      </c>
      <c r="DB23" s="275">
        <v>0</v>
      </c>
      <c r="DC23" s="275">
        <v>0</v>
      </c>
      <c r="DD23" s="275">
        <v>0</v>
      </c>
      <c r="DE23" s="275">
        <v>0</v>
      </c>
      <c r="DF23" s="275">
        <v>0</v>
      </c>
      <c r="DG23" s="275">
        <v>0</v>
      </c>
      <c r="DH23" s="405"/>
    </row>
    <row r="24" spans="1:112" ht="12.75" hidden="1" x14ac:dyDescent="0.2">
      <c r="A24" s="647"/>
      <c r="B24" s="255" t="s">
        <v>367</v>
      </c>
      <c r="C24" s="256">
        <v>124</v>
      </c>
      <c r="D24" s="257">
        <v>0.38</v>
      </c>
      <c r="E24" s="257">
        <v>25.979999999999997</v>
      </c>
      <c r="F24" s="258">
        <v>0.6</v>
      </c>
      <c r="G24" s="258">
        <v>0.61348525356656625</v>
      </c>
      <c r="H24" s="258">
        <v>0.61348525356656625</v>
      </c>
      <c r="I24" s="258">
        <v>0.474444189782388</v>
      </c>
      <c r="J24" s="257">
        <v>178.56196497583321</v>
      </c>
      <c r="K24" s="258">
        <v>3.7537224656247004</v>
      </c>
      <c r="L24" s="258">
        <v>0</v>
      </c>
      <c r="M24" s="258">
        <v>7.2660548192656726</v>
      </c>
      <c r="N24" s="258">
        <v>0.78747193212644861</v>
      </c>
      <c r="O24" s="258">
        <v>0.94299999999998363</v>
      </c>
      <c r="P24" s="259">
        <v>7.6048387096772875E-3</v>
      </c>
      <c r="Q24" s="258">
        <v>5.4904331675803934E-2</v>
      </c>
      <c r="R24" s="258">
        <v>-0.15700000000003911</v>
      </c>
      <c r="S24" s="260">
        <v>-1.2661290322583799E-3</v>
      </c>
      <c r="T24" s="261">
        <v>1.315481829802315</v>
      </c>
      <c r="U24" s="262">
        <v>1.3591255877149135</v>
      </c>
      <c r="V24" s="263">
        <v>0</v>
      </c>
      <c r="W24" s="263">
        <v>0</v>
      </c>
      <c r="X24" s="264">
        <v>2</v>
      </c>
      <c r="Y24" s="265"/>
      <c r="Z24" s="266">
        <v>1</v>
      </c>
      <c r="AA24" s="262">
        <v>1.5707963267948966</v>
      </c>
      <c r="AB24" s="267">
        <v>2.6244321636784518</v>
      </c>
      <c r="AC24" s="258">
        <v>0.32283336964039111</v>
      </c>
      <c r="AD24" s="258">
        <v>0.30330000000000001</v>
      </c>
      <c r="AE24" s="259">
        <v>0.85</v>
      </c>
      <c r="AF24" s="258">
        <v>0.85</v>
      </c>
      <c r="AG24" s="258">
        <v>0.30330000000000001</v>
      </c>
      <c r="AH24" s="258">
        <v>3.898745921239632</v>
      </c>
      <c r="AI24" s="258">
        <v>0</v>
      </c>
      <c r="AJ24" s="267">
        <v>3.898745921239632</v>
      </c>
      <c r="AK24" s="258">
        <v>312.99099999999999</v>
      </c>
      <c r="AL24" s="268">
        <v>313.14800000000002</v>
      </c>
      <c r="AM24" s="257">
        <v>2</v>
      </c>
      <c r="AN24" s="257">
        <v>3.1</v>
      </c>
      <c r="AO24" s="269">
        <v>310.99099999999999</v>
      </c>
      <c r="AP24" s="269">
        <v>310.048</v>
      </c>
      <c r="AQ24" s="258">
        <v>311.84100000000001</v>
      </c>
      <c r="AR24" s="258">
        <v>310.89800000000002</v>
      </c>
      <c r="AS24" s="257">
        <v>0.89499999999998181</v>
      </c>
      <c r="AT24" s="270">
        <v>1.9950000000000045</v>
      </c>
      <c r="AU24" s="271"/>
      <c r="AV24" s="404" t="s">
        <v>367</v>
      </c>
      <c r="AW24" s="272"/>
      <c r="AX24" s="273">
        <v>0</v>
      </c>
      <c r="AY24" s="273"/>
      <c r="AZ24" s="273">
        <v>0</v>
      </c>
      <c r="BA24" s="273">
        <v>1000</v>
      </c>
      <c r="BB24" s="274" t="s">
        <v>1358</v>
      </c>
      <c r="BC24" s="275">
        <v>2</v>
      </c>
      <c r="BD24" s="275">
        <v>3.1</v>
      </c>
      <c r="BE24" s="275">
        <v>0</v>
      </c>
      <c r="BF24" s="276">
        <v>4</v>
      </c>
      <c r="BG24" s="276" t="s">
        <v>1359</v>
      </c>
      <c r="BH24" s="275">
        <v>2.5499999999999998</v>
      </c>
      <c r="BI24" s="275">
        <v>2.76</v>
      </c>
      <c r="BJ24" s="275">
        <v>0</v>
      </c>
      <c r="BK24" s="275">
        <v>1.38</v>
      </c>
      <c r="BL24" s="275" t="s">
        <v>1085</v>
      </c>
      <c r="BM24" s="275" t="s">
        <v>1085</v>
      </c>
      <c r="BN24" s="275" t="s">
        <v>1085</v>
      </c>
      <c r="BO24" s="275" t="s">
        <v>1085</v>
      </c>
      <c r="BP24" s="275">
        <v>0</v>
      </c>
      <c r="BQ24" s="275" t="s">
        <v>1085</v>
      </c>
      <c r="BR24" s="275" t="s">
        <v>1085</v>
      </c>
      <c r="BS24" s="275" t="s">
        <v>1085</v>
      </c>
      <c r="BT24" s="275" t="s">
        <v>1085</v>
      </c>
      <c r="BU24" s="275" t="s">
        <v>1085</v>
      </c>
      <c r="BV24" s="275" t="s">
        <v>1085</v>
      </c>
      <c r="BW24" s="275" t="s">
        <v>1085</v>
      </c>
      <c r="BX24" s="275">
        <v>0</v>
      </c>
      <c r="BY24" s="54">
        <v>0</v>
      </c>
      <c r="BZ24" s="54">
        <v>0.15</v>
      </c>
      <c r="CA24" s="275">
        <v>0</v>
      </c>
      <c r="CB24" s="275">
        <v>0</v>
      </c>
      <c r="CC24" s="275" t="s">
        <v>1085</v>
      </c>
      <c r="CD24" s="275" t="s">
        <v>1085</v>
      </c>
      <c r="CE24" s="275">
        <v>0</v>
      </c>
      <c r="CF24" s="275" t="s">
        <v>1085</v>
      </c>
      <c r="CG24" s="275" t="s">
        <v>1085</v>
      </c>
      <c r="CH24" s="275" t="s">
        <v>1085</v>
      </c>
      <c r="CI24" s="275">
        <v>0</v>
      </c>
      <c r="CJ24" s="275" t="s">
        <v>1085</v>
      </c>
      <c r="CK24" s="274" t="s">
        <v>214</v>
      </c>
      <c r="CL24" s="275" t="s">
        <v>1085</v>
      </c>
      <c r="CM24" s="275" t="s">
        <v>1085</v>
      </c>
      <c r="CN24" s="277">
        <v>2.1</v>
      </c>
      <c r="CO24" s="275">
        <v>0</v>
      </c>
      <c r="CP24" s="275" t="s">
        <v>1085</v>
      </c>
      <c r="CQ24" s="275" t="s">
        <v>1085</v>
      </c>
      <c r="CR24" s="275" t="s">
        <v>1085</v>
      </c>
      <c r="CS24" s="275" t="s">
        <v>1085</v>
      </c>
      <c r="CT24" s="275">
        <v>0</v>
      </c>
      <c r="CU24" s="275" t="s">
        <v>1085</v>
      </c>
      <c r="CV24" s="275" t="s">
        <v>1085</v>
      </c>
      <c r="CW24" s="275" t="s">
        <v>1085</v>
      </c>
      <c r="CX24" s="275" t="s">
        <v>1085</v>
      </c>
      <c r="CY24" s="275" t="s">
        <v>1085</v>
      </c>
      <c r="CZ24" s="275" t="s">
        <v>1085</v>
      </c>
      <c r="DA24" s="275" t="s">
        <v>1085</v>
      </c>
      <c r="DB24" s="275">
        <v>0</v>
      </c>
      <c r="DC24" s="275">
        <v>0</v>
      </c>
      <c r="DD24" s="275">
        <v>0</v>
      </c>
      <c r="DE24" s="275">
        <v>0</v>
      </c>
      <c r="DF24" s="275">
        <v>0</v>
      </c>
      <c r="DG24" s="275">
        <v>0</v>
      </c>
      <c r="DH24" s="405"/>
    </row>
    <row r="25" spans="1:112" ht="12.75" hidden="1" x14ac:dyDescent="0.2">
      <c r="A25" s="440"/>
      <c r="B25" s="255" t="s">
        <v>368</v>
      </c>
      <c r="C25" s="256">
        <v>122</v>
      </c>
      <c r="D25" s="257">
        <v>0.53</v>
      </c>
      <c r="E25" s="257">
        <v>26.509999999999998</v>
      </c>
      <c r="F25" s="258">
        <v>0.6</v>
      </c>
      <c r="G25" s="258">
        <v>0.61162966447047151</v>
      </c>
      <c r="H25" s="258">
        <v>0.61162966447047151</v>
      </c>
      <c r="I25" s="258">
        <v>0.48586666707995102</v>
      </c>
      <c r="J25" s="257">
        <v>173.020450851829</v>
      </c>
      <c r="K25" s="258">
        <v>3.7892879528639485</v>
      </c>
      <c r="L25" s="258">
        <v>0</v>
      </c>
      <c r="M25" s="258">
        <v>8.0535267513921216</v>
      </c>
      <c r="N25" s="258">
        <v>0.98152707359229174</v>
      </c>
      <c r="O25" s="258">
        <v>0.74799999999999045</v>
      </c>
      <c r="P25" s="259">
        <v>6.1311475409835279E-3</v>
      </c>
      <c r="Q25" s="258">
        <v>7.5757171445412774E-2</v>
      </c>
      <c r="R25" s="258">
        <v>2.2240000000000464</v>
      </c>
      <c r="S25" s="260">
        <v>1.8229508196721693E-2</v>
      </c>
      <c r="T25" s="261">
        <v>1.3745512667245876</v>
      </c>
      <c r="U25" s="262">
        <v>1.4839243665237927</v>
      </c>
      <c r="V25" s="263">
        <v>0</v>
      </c>
      <c r="W25" s="263">
        <v>0</v>
      </c>
      <c r="X25" s="264">
        <v>2</v>
      </c>
      <c r="Y25" s="265"/>
      <c r="Z25" s="266">
        <v>1</v>
      </c>
      <c r="AA25" s="262">
        <v>1.5707963267948966</v>
      </c>
      <c r="AB25" s="267">
        <v>2.0716018824539755</v>
      </c>
      <c r="AC25" s="258">
        <v>0.36295099299323835</v>
      </c>
      <c r="AD25" s="258">
        <v>0.25</v>
      </c>
      <c r="AE25" s="259">
        <v>1</v>
      </c>
      <c r="AF25" s="258">
        <v>1</v>
      </c>
      <c r="AG25" s="258">
        <v>0.25</v>
      </c>
      <c r="AH25" s="258">
        <v>3.5006671018936233</v>
      </c>
      <c r="AI25" s="258">
        <v>0</v>
      </c>
      <c r="AJ25" s="267">
        <v>3.5006671018936233</v>
      </c>
      <c r="AK25" s="258">
        <v>313.14800000000002</v>
      </c>
      <c r="AL25" s="268">
        <v>310.92399999999998</v>
      </c>
      <c r="AM25" s="257">
        <v>3.1</v>
      </c>
      <c r="AN25" s="257">
        <v>1.6239999999999668</v>
      </c>
      <c r="AO25" s="269">
        <v>310.048</v>
      </c>
      <c r="AP25" s="269">
        <v>309.3</v>
      </c>
      <c r="AQ25" s="258">
        <v>311.048</v>
      </c>
      <c r="AR25" s="258">
        <v>310.3</v>
      </c>
      <c r="AS25" s="257">
        <v>1.9950000000000045</v>
      </c>
      <c r="AT25" s="270">
        <v>0.51899999999994861</v>
      </c>
      <c r="AU25" s="271"/>
      <c r="AV25" s="404" t="s">
        <v>368</v>
      </c>
      <c r="AW25" s="272"/>
      <c r="AX25" s="273">
        <v>0</v>
      </c>
      <c r="AY25" s="273"/>
      <c r="AZ25" s="273">
        <v>0</v>
      </c>
      <c r="BA25" s="273">
        <v>1000</v>
      </c>
      <c r="BB25" s="274" t="s">
        <v>1358</v>
      </c>
      <c r="BC25" s="275">
        <v>3.1</v>
      </c>
      <c r="BD25" s="275">
        <v>1.6239999999999668</v>
      </c>
      <c r="BE25" s="275">
        <v>0</v>
      </c>
      <c r="BF25" s="276">
        <v>4</v>
      </c>
      <c r="BG25" s="276" t="s">
        <v>1359</v>
      </c>
      <c r="BH25" s="275">
        <v>2.3619999999999832</v>
      </c>
      <c r="BI25" s="275">
        <v>2.5719999999999832</v>
      </c>
      <c r="BJ25" s="275">
        <v>0</v>
      </c>
      <c r="BK25" s="275">
        <v>1.2859999999999916</v>
      </c>
      <c r="BL25" s="275" t="s">
        <v>1085</v>
      </c>
      <c r="BM25" s="275" t="s">
        <v>1085</v>
      </c>
      <c r="BN25" s="275" t="s">
        <v>1085</v>
      </c>
      <c r="BO25" s="275" t="s">
        <v>1085</v>
      </c>
      <c r="BP25" s="275">
        <v>0</v>
      </c>
      <c r="BQ25" s="275" t="s">
        <v>1085</v>
      </c>
      <c r="BR25" s="275" t="s">
        <v>1085</v>
      </c>
      <c r="BS25" s="275" t="s">
        <v>1085</v>
      </c>
      <c r="BT25" s="275" t="s">
        <v>1085</v>
      </c>
      <c r="BU25" s="275" t="s">
        <v>1085</v>
      </c>
      <c r="BV25" s="275" t="s">
        <v>1085</v>
      </c>
      <c r="BW25" s="275" t="s">
        <v>1085</v>
      </c>
      <c r="BX25" s="275">
        <v>0</v>
      </c>
      <c r="BY25" s="54">
        <v>0</v>
      </c>
      <c r="BZ25" s="54">
        <v>0.15</v>
      </c>
      <c r="CA25" s="275">
        <v>0</v>
      </c>
      <c r="CB25" s="275">
        <v>0</v>
      </c>
      <c r="CC25" s="275" t="s">
        <v>1085</v>
      </c>
      <c r="CD25" s="275" t="s">
        <v>1085</v>
      </c>
      <c r="CE25" s="275">
        <v>0</v>
      </c>
      <c r="CF25" s="275" t="s">
        <v>1085</v>
      </c>
      <c r="CG25" s="275" t="s">
        <v>1085</v>
      </c>
      <c r="CH25" s="275" t="s">
        <v>1085</v>
      </c>
      <c r="CI25" s="275">
        <v>0</v>
      </c>
      <c r="CJ25" s="275" t="s">
        <v>1085</v>
      </c>
      <c r="CK25" s="274" t="s">
        <v>214</v>
      </c>
      <c r="CL25" s="275" t="s">
        <v>1085</v>
      </c>
      <c r="CM25" s="275" t="s">
        <v>1085</v>
      </c>
      <c r="CN25" s="277">
        <v>3.1</v>
      </c>
      <c r="CO25" s="275">
        <v>0</v>
      </c>
      <c r="CP25" s="275" t="s">
        <v>1085</v>
      </c>
      <c r="CQ25" s="275" t="s">
        <v>1085</v>
      </c>
      <c r="CR25" s="275" t="s">
        <v>1085</v>
      </c>
      <c r="CS25" s="275" t="s">
        <v>1085</v>
      </c>
      <c r="CT25" s="275">
        <v>0</v>
      </c>
      <c r="CU25" s="275" t="s">
        <v>1085</v>
      </c>
      <c r="CV25" s="275" t="s">
        <v>1085</v>
      </c>
      <c r="CW25" s="275" t="s">
        <v>1085</v>
      </c>
      <c r="CX25" s="275" t="s">
        <v>1085</v>
      </c>
      <c r="CY25" s="275" t="s">
        <v>1085</v>
      </c>
      <c r="CZ25" s="275" t="s">
        <v>1085</v>
      </c>
      <c r="DA25" s="275" t="s">
        <v>1085</v>
      </c>
      <c r="DB25" s="275">
        <v>0</v>
      </c>
      <c r="DC25" s="275">
        <v>0</v>
      </c>
      <c r="DD25" s="275">
        <v>0</v>
      </c>
      <c r="DE25" s="275">
        <v>0</v>
      </c>
      <c r="DF25" s="275">
        <v>0</v>
      </c>
      <c r="DG25" s="275">
        <v>0</v>
      </c>
      <c r="DH25" s="405"/>
    </row>
    <row r="26" spans="1:112" ht="12.75" hidden="1" x14ac:dyDescent="0.2">
      <c r="A26" s="440"/>
      <c r="B26" s="255" t="s">
        <v>369</v>
      </c>
      <c r="C26" s="256">
        <v>127</v>
      </c>
      <c r="D26" s="257">
        <v>3.04</v>
      </c>
      <c r="E26" s="257">
        <v>3.04</v>
      </c>
      <c r="F26" s="258">
        <v>0.6</v>
      </c>
      <c r="G26" s="258">
        <v>0.84638695755502846</v>
      </c>
      <c r="H26" s="258">
        <v>0.84638695755502846</v>
      </c>
      <c r="I26" s="258">
        <v>0.49855155939179097</v>
      </c>
      <c r="J26" s="257">
        <v>166.62176170414753</v>
      </c>
      <c r="K26" s="258">
        <v>0.59419520518057412</v>
      </c>
      <c r="L26" s="258">
        <v>0</v>
      </c>
      <c r="M26" s="258">
        <v>9.0350538249844128</v>
      </c>
      <c r="N26" s="258">
        <v>0.83050927895545779</v>
      </c>
      <c r="O26" s="258">
        <v>1.8070000000000164</v>
      </c>
      <c r="P26" s="259">
        <v>1.4228346456693042E-2</v>
      </c>
      <c r="Q26" s="258">
        <v>0.59419520518057412</v>
      </c>
      <c r="R26" s="258">
        <v>1.7069999999999936</v>
      </c>
      <c r="S26" s="260">
        <v>1.3440944881889714E-2</v>
      </c>
      <c r="T26" s="261">
        <v>0.5859666418194831</v>
      </c>
      <c r="U26" s="262">
        <v>0.26967188283224552</v>
      </c>
      <c r="V26" s="263">
        <v>0</v>
      </c>
      <c r="W26" s="263">
        <v>0</v>
      </c>
      <c r="X26" s="264">
        <v>1</v>
      </c>
      <c r="Y26" s="265"/>
      <c r="Z26" s="266">
        <v>0.6</v>
      </c>
      <c r="AA26" s="262">
        <v>0.28274333882308139</v>
      </c>
      <c r="AB26" s="267">
        <v>2.5486369873300219</v>
      </c>
      <c r="AC26" s="258">
        <v>0.29176947361448352</v>
      </c>
      <c r="AD26" s="258">
        <v>0.3024</v>
      </c>
      <c r="AE26" s="259">
        <v>0.76</v>
      </c>
      <c r="AF26" s="258">
        <v>0.45599999999999996</v>
      </c>
      <c r="AG26" s="258">
        <v>0.18143999999999999</v>
      </c>
      <c r="AH26" s="258">
        <v>0.68285812954318548</v>
      </c>
      <c r="AI26" s="258">
        <v>0</v>
      </c>
      <c r="AJ26" s="267">
        <v>0.68285812954318548</v>
      </c>
      <c r="AK26" s="258">
        <v>318.84399999999999</v>
      </c>
      <c r="AL26" s="268">
        <v>317.137</v>
      </c>
      <c r="AM26" s="257">
        <v>1.5</v>
      </c>
      <c r="AN26" s="257">
        <v>1.6</v>
      </c>
      <c r="AO26" s="269">
        <v>317.34399999999999</v>
      </c>
      <c r="AP26" s="269">
        <v>315.53699999999998</v>
      </c>
      <c r="AQ26" s="258">
        <v>317.8</v>
      </c>
      <c r="AR26" s="258">
        <v>315.99299999999999</v>
      </c>
      <c r="AS26" s="257">
        <v>0.83699999999998909</v>
      </c>
      <c r="AT26" s="270">
        <v>0.93700000000001182</v>
      </c>
      <c r="AU26" s="271"/>
      <c r="AV26" s="404" t="s">
        <v>369</v>
      </c>
      <c r="AW26" s="272"/>
      <c r="AX26" s="273">
        <v>0</v>
      </c>
      <c r="AY26" s="273"/>
      <c r="AZ26" s="273">
        <v>0</v>
      </c>
      <c r="BA26" s="273">
        <v>600</v>
      </c>
      <c r="BB26" s="274" t="s">
        <v>213</v>
      </c>
      <c r="BC26" s="275">
        <v>1.5</v>
      </c>
      <c r="BD26" s="275">
        <v>1.6</v>
      </c>
      <c r="BE26" s="275">
        <v>0</v>
      </c>
      <c r="BF26" s="276">
        <v>4</v>
      </c>
      <c r="BG26" s="276" t="s">
        <v>1359</v>
      </c>
      <c r="BH26" s="275">
        <v>1.55</v>
      </c>
      <c r="BI26" s="275">
        <v>1.6760000000000002</v>
      </c>
      <c r="BJ26" s="275">
        <v>0</v>
      </c>
      <c r="BK26" s="275">
        <v>0.83800000000000008</v>
      </c>
      <c r="BL26" s="275" t="s">
        <v>1085</v>
      </c>
      <c r="BM26" s="275" t="s">
        <v>1085</v>
      </c>
      <c r="BN26" s="275" t="s">
        <v>1085</v>
      </c>
      <c r="BO26" s="275" t="s">
        <v>1085</v>
      </c>
      <c r="BP26" s="275">
        <v>0</v>
      </c>
      <c r="BQ26" s="275" t="s">
        <v>1085</v>
      </c>
      <c r="BR26" s="275" t="s">
        <v>1085</v>
      </c>
      <c r="BS26" s="275" t="s">
        <v>1085</v>
      </c>
      <c r="BT26" s="275" t="s">
        <v>1085</v>
      </c>
      <c r="BU26" s="275" t="s">
        <v>1085</v>
      </c>
      <c r="BV26" s="275" t="s">
        <v>1085</v>
      </c>
      <c r="BW26" s="275" t="s">
        <v>1085</v>
      </c>
      <c r="BX26" s="275">
        <v>0</v>
      </c>
      <c r="BY26" s="54">
        <v>0</v>
      </c>
      <c r="BZ26" s="54">
        <v>0.15</v>
      </c>
      <c r="CA26" s="275">
        <v>0</v>
      </c>
      <c r="CB26" s="275">
        <v>0</v>
      </c>
      <c r="CC26" s="275" t="s">
        <v>1085</v>
      </c>
      <c r="CD26" s="275" t="s">
        <v>1085</v>
      </c>
      <c r="CE26" s="275">
        <v>0</v>
      </c>
      <c r="CF26" s="275" t="s">
        <v>1085</v>
      </c>
      <c r="CG26" s="275" t="s">
        <v>1085</v>
      </c>
      <c r="CH26" s="275" t="s">
        <v>1085</v>
      </c>
      <c r="CI26" s="275">
        <v>0</v>
      </c>
      <c r="CJ26" s="275" t="s">
        <v>1085</v>
      </c>
      <c r="CK26" s="274" t="s">
        <v>214</v>
      </c>
      <c r="CL26" s="275" t="s">
        <v>1085</v>
      </c>
      <c r="CM26" s="275" t="s">
        <v>1085</v>
      </c>
      <c r="CN26" s="277">
        <v>0.1</v>
      </c>
      <c r="CO26" s="275">
        <v>0</v>
      </c>
      <c r="CP26" s="275" t="s">
        <v>1085</v>
      </c>
      <c r="CQ26" s="275" t="s">
        <v>1085</v>
      </c>
      <c r="CR26" s="275" t="s">
        <v>1085</v>
      </c>
      <c r="CS26" s="275" t="s">
        <v>1085</v>
      </c>
      <c r="CT26" s="275">
        <v>0</v>
      </c>
      <c r="CU26" s="275" t="s">
        <v>1085</v>
      </c>
      <c r="CV26" s="275" t="s">
        <v>1085</v>
      </c>
      <c r="CW26" s="275" t="s">
        <v>1085</v>
      </c>
      <c r="CX26" s="275" t="s">
        <v>1085</v>
      </c>
      <c r="CY26" s="275" t="s">
        <v>1085</v>
      </c>
      <c r="CZ26" s="275" t="s">
        <v>1085</v>
      </c>
      <c r="DA26" s="275" t="s">
        <v>1085</v>
      </c>
      <c r="DB26" s="275">
        <v>0</v>
      </c>
      <c r="DC26" s="275">
        <v>0</v>
      </c>
      <c r="DD26" s="275">
        <v>0</v>
      </c>
      <c r="DE26" s="275">
        <v>0</v>
      </c>
      <c r="DF26" s="275">
        <v>0</v>
      </c>
      <c r="DG26" s="275">
        <v>0</v>
      </c>
      <c r="DH26" s="405">
        <v>0</v>
      </c>
    </row>
    <row r="27" spans="1:112" ht="16.5" hidden="1" customHeight="1" x14ac:dyDescent="0.2">
      <c r="A27" s="440"/>
      <c r="B27" s="255" t="s">
        <v>370</v>
      </c>
      <c r="C27" s="256">
        <v>128</v>
      </c>
      <c r="D27" s="257">
        <v>1.68</v>
      </c>
      <c r="E27" s="257">
        <v>1.68</v>
      </c>
      <c r="F27" s="258">
        <v>0.6</v>
      </c>
      <c r="G27" s="258">
        <v>0.92513179641158538</v>
      </c>
      <c r="H27" s="258">
        <v>0.92513179641158538</v>
      </c>
      <c r="I27" s="258">
        <v>0.4896564026671022</v>
      </c>
      <c r="J27" s="257">
        <v>171.135513607284</v>
      </c>
      <c r="K27" s="258">
        <v>0.36206726848478277</v>
      </c>
      <c r="L27" s="258">
        <v>0</v>
      </c>
      <c r="M27" s="258">
        <v>8.3342476158900158</v>
      </c>
      <c r="N27" s="258">
        <v>0.96051213608073349</v>
      </c>
      <c r="O27" s="258">
        <v>1.6279999999999859</v>
      </c>
      <c r="P27" s="259">
        <v>1.271874999999989E-2</v>
      </c>
      <c r="Q27" s="258">
        <v>0.36206726848478282</v>
      </c>
      <c r="R27" s="258">
        <v>1.3279999999999745</v>
      </c>
      <c r="S27" s="260">
        <v>1.0374999999999801E-2</v>
      </c>
      <c r="T27" s="261">
        <v>0.49696815896150071</v>
      </c>
      <c r="U27" s="262">
        <v>0.19397555789311854</v>
      </c>
      <c r="V27" s="263">
        <v>0</v>
      </c>
      <c r="W27" s="263">
        <v>0</v>
      </c>
      <c r="X27" s="264">
        <v>1</v>
      </c>
      <c r="Y27" s="265"/>
      <c r="Z27" s="266">
        <v>0.6</v>
      </c>
      <c r="AA27" s="262">
        <v>0.28274333882308139</v>
      </c>
      <c r="AB27" s="267">
        <v>2.2210373541329429</v>
      </c>
      <c r="AC27" s="258">
        <v>0.18804204901081462</v>
      </c>
      <c r="AD27" s="258">
        <v>0.2676</v>
      </c>
      <c r="AE27" s="259">
        <v>0.56000000000000005</v>
      </c>
      <c r="AF27" s="258">
        <v>0.33600000000000002</v>
      </c>
      <c r="AG27" s="258">
        <v>0.16056000000000001</v>
      </c>
      <c r="AH27" s="258">
        <v>0.64561778243549195</v>
      </c>
      <c r="AI27" s="258">
        <v>0</v>
      </c>
      <c r="AJ27" s="267">
        <v>0.64561778243549195</v>
      </c>
      <c r="AK27" s="258">
        <v>317.13</v>
      </c>
      <c r="AL27" s="268">
        <v>315.80200000000002</v>
      </c>
      <c r="AM27" s="257">
        <v>1.5</v>
      </c>
      <c r="AN27" s="257">
        <v>1.8</v>
      </c>
      <c r="AO27" s="269">
        <v>315.63</v>
      </c>
      <c r="AP27" s="269">
        <v>314.00200000000001</v>
      </c>
      <c r="AQ27" s="258">
        <v>315.96600000000001</v>
      </c>
      <c r="AR27" s="258">
        <v>314.33800000000002</v>
      </c>
      <c r="AS27" s="257">
        <v>0.83699999999998909</v>
      </c>
      <c r="AT27" s="270">
        <v>1.1370000000000005</v>
      </c>
      <c r="AU27" s="271"/>
      <c r="AV27" s="404" t="s">
        <v>370</v>
      </c>
      <c r="AW27" s="272"/>
      <c r="AX27" s="273">
        <v>0</v>
      </c>
      <c r="AY27" s="273"/>
      <c r="AZ27" s="273">
        <v>0</v>
      </c>
      <c r="BA27" s="273">
        <v>600</v>
      </c>
      <c r="BB27" s="274" t="s">
        <v>213</v>
      </c>
      <c r="BC27" s="275">
        <v>1.5</v>
      </c>
      <c r="BD27" s="275">
        <v>1.8</v>
      </c>
      <c r="BE27" s="275">
        <v>0</v>
      </c>
      <c r="BF27" s="276">
        <v>4</v>
      </c>
      <c r="BG27" s="276" t="s">
        <v>1359</v>
      </c>
      <c r="BH27" s="275">
        <v>1.65</v>
      </c>
      <c r="BI27" s="275">
        <v>1.7759999999999998</v>
      </c>
      <c r="BJ27" s="275">
        <v>0</v>
      </c>
      <c r="BK27" s="275">
        <v>0.8879999999999999</v>
      </c>
      <c r="BL27" s="275" t="s">
        <v>1085</v>
      </c>
      <c r="BM27" s="275" t="s">
        <v>1085</v>
      </c>
      <c r="BN27" s="275" t="s">
        <v>1085</v>
      </c>
      <c r="BO27" s="275" t="s">
        <v>1085</v>
      </c>
      <c r="BP27" s="275">
        <v>0</v>
      </c>
      <c r="BQ27" s="275" t="s">
        <v>1085</v>
      </c>
      <c r="BR27" s="275" t="s">
        <v>1085</v>
      </c>
      <c r="BS27" s="275" t="s">
        <v>1085</v>
      </c>
      <c r="BT27" s="275" t="s">
        <v>1085</v>
      </c>
      <c r="BU27" s="275" t="s">
        <v>1085</v>
      </c>
      <c r="BV27" s="275" t="s">
        <v>1085</v>
      </c>
      <c r="BW27" s="275" t="s">
        <v>1085</v>
      </c>
      <c r="BX27" s="275">
        <v>0</v>
      </c>
      <c r="BY27" s="54">
        <v>0</v>
      </c>
      <c r="BZ27" s="54">
        <v>0.15</v>
      </c>
      <c r="CA27" s="275">
        <v>0</v>
      </c>
      <c r="CB27" s="275">
        <v>0</v>
      </c>
      <c r="CC27" s="275" t="s">
        <v>1085</v>
      </c>
      <c r="CD27" s="275" t="s">
        <v>1085</v>
      </c>
      <c r="CE27" s="275">
        <v>0</v>
      </c>
      <c r="CF27" s="275" t="s">
        <v>1085</v>
      </c>
      <c r="CG27" s="275" t="s">
        <v>1085</v>
      </c>
      <c r="CH27" s="275" t="s">
        <v>1085</v>
      </c>
      <c r="CI27" s="275">
        <v>0</v>
      </c>
      <c r="CJ27" s="275" t="s">
        <v>1085</v>
      </c>
      <c r="CK27" s="274" t="s">
        <v>214</v>
      </c>
      <c r="CL27" s="275" t="s">
        <v>1085</v>
      </c>
      <c r="CM27" s="275" t="s">
        <v>1085</v>
      </c>
      <c r="CN27" s="277">
        <v>0.1</v>
      </c>
      <c r="CO27" s="275">
        <v>0</v>
      </c>
      <c r="CP27" s="275" t="s">
        <v>1085</v>
      </c>
      <c r="CQ27" s="275" t="s">
        <v>1085</v>
      </c>
      <c r="CR27" s="275" t="s">
        <v>1085</v>
      </c>
      <c r="CS27" s="275" t="s">
        <v>1085</v>
      </c>
      <c r="CT27" s="275">
        <v>0</v>
      </c>
      <c r="CU27" s="275" t="s">
        <v>1085</v>
      </c>
      <c r="CV27" s="275" t="s">
        <v>1085</v>
      </c>
      <c r="CW27" s="275" t="s">
        <v>1085</v>
      </c>
      <c r="CX27" s="275" t="s">
        <v>1085</v>
      </c>
      <c r="CY27" s="275" t="s">
        <v>1085</v>
      </c>
      <c r="CZ27" s="275" t="s">
        <v>1085</v>
      </c>
      <c r="DA27" s="275" t="s">
        <v>1085</v>
      </c>
      <c r="DB27" s="275">
        <v>0</v>
      </c>
      <c r="DC27" s="275">
        <v>0</v>
      </c>
      <c r="DD27" s="275">
        <v>0</v>
      </c>
      <c r="DE27" s="275">
        <v>0</v>
      </c>
      <c r="DF27" s="275">
        <v>0</v>
      </c>
      <c r="DG27" s="275">
        <v>0</v>
      </c>
      <c r="DH27" s="405">
        <v>0</v>
      </c>
    </row>
    <row r="28" spans="1:112" ht="16.5" hidden="1" customHeight="1" x14ac:dyDescent="0.2">
      <c r="A28" s="440"/>
      <c r="B28" s="255" t="s">
        <v>371</v>
      </c>
      <c r="C28" s="256">
        <v>130</v>
      </c>
      <c r="D28" s="257">
        <v>1.52</v>
      </c>
      <c r="E28" s="257">
        <v>1.52</v>
      </c>
      <c r="F28" s="258">
        <v>0.6</v>
      </c>
      <c r="G28" s="258">
        <v>0.93912512965944239</v>
      </c>
      <c r="H28" s="258">
        <v>0.93912512965944239</v>
      </c>
      <c r="I28" s="258">
        <v>0.48907518946339973</v>
      </c>
      <c r="J28" s="257">
        <v>171.42608541484481</v>
      </c>
      <c r="K28" s="258">
        <v>0.33270887473546773</v>
      </c>
      <c r="L28" s="258">
        <v>0</v>
      </c>
      <c r="M28" s="258">
        <v>8.2905285019897299</v>
      </c>
      <c r="N28" s="258">
        <v>0.97116641746312349</v>
      </c>
      <c r="O28" s="258">
        <v>1.7680000000000291</v>
      </c>
      <c r="P28" s="259">
        <v>1.3600000000000223E-2</v>
      </c>
      <c r="Q28" s="258">
        <v>0.33270887473546773</v>
      </c>
      <c r="R28" s="258">
        <v>1.4680000000000177</v>
      </c>
      <c r="S28" s="260">
        <v>1.1292307692307829E-2</v>
      </c>
      <c r="T28" s="261">
        <v>0.47544635205663843</v>
      </c>
      <c r="U28" s="262">
        <v>0.1775386529727867</v>
      </c>
      <c r="V28" s="263">
        <v>0</v>
      </c>
      <c r="W28" s="263">
        <v>0</v>
      </c>
      <c r="X28" s="264">
        <v>1</v>
      </c>
      <c r="Y28" s="265"/>
      <c r="Z28" s="266">
        <v>0.6</v>
      </c>
      <c r="AA28" s="262">
        <v>0.28274333882308139</v>
      </c>
      <c r="AB28" s="267">
        <v>2.2309942227269595</v>
      </c>
      <c r="AC28" s="258">
        <v>0.16710246483877866</v>
      </c>
      <c r="AD28" s="258">
        <v>0.25619999999999998</v>
      </c>
      <c r="AE28" s="259">
        <v>0.52</v>
      </c>
      <c r="AF28" s="258">
        <v>0.312</v>
      </c>
      <c r="AG28" s="258">
        <v>0.15372</v>
      </c>
      <c r="AH28" s="258">
        <v>0.66760982973690486</v>
      </c>
      <c r="AI28" s="258">
        <v>0</v>
      </c>
      <c r="AJ28" s="267">
        <v>0.66760982973690486</v>
      </c>
      <c r="AK28" s="258">
        <v>315.59500000000003</v>
      </c>
      <c r="AL28" s="268">
        <v>314.12700000000001</v>
      </c>
      <c r="AM28" s="257">
        <v>1.5</v>
      </c>
      <c r="AN28" s="257">
        <v>1.8</v>
      </c>
      <c r="AO28" s="269">
        <v>314.09500000000003</v>
      </c>
      <c r="AP28" s="269">
        <v>312.327</v>
      </c>
      <c r="AQ28" s="258">
        <v>314.40700000000004</v>
      </c>
      <c r="AR28" s="258">
        <v>312.63900000000001</v>
      </c>
      <c r="AS28" s="257">
        <v>0.83699999999998909</v>
      </c>
      <c r="AT28" s="270">
        <v>1.1370000000000005</v>
      </c>
      <c r="AU28" s="271"/>
      <c r="AV28" s="404" t="s">
        <v>371</v>
      </c>
      <c r="AW28" s="272"/>
      <c r="AX28" s="273">
        <v>0</v>
      </c>
      <c r="AY28" s="273"/>
      <c r="AZ28" s="273">
        <v>0</v>
      </c>
      <c r="BA28" s="273">
        <v>600</v>
      </c>
      <c r="BB28" s="274" t="s">
        <v>213</v>
      </c>
      <c r="BC28" s="275">
        <v>1.5</v>
      </c>
      <c r="BD28" s="275">
        <v>1.8</v>
      </c>
      <c r="BE28" s="275">
        <v>0</v>
      </c>
      <c r="BF28" s="276">
        <v>4</v>
      </c>
      <c r="BG28" s="276" t="s">
        <v>1359</v>
      </c>
      <c r="BH28" s="275">
        <v>1.65</v>
      </c>
      <c r="BI28" s="275">
        <v>1.7759999999999998</v>
      </c>
      <c r="BJ28" s="275">
        <v>0</v>
      </c>
      <c r="BK28" s="275">
        <v>0.8879999999999999</v>
      </c>
      <c r="BL28" s="275" t="s">
        <v>1085</v>
      </c>
      <c r="BM28" s="275" t="s">
        <v>1085</v>
      </c>
      <c r="BN28" s="275" t="s">
        <v>1085</v>
      </c>
      <c r="BO28" s="275" t="s">
        <v>1085</v>
      </c>
      <c r="BP28" s="275">
        <v>0</v>
      </c>
      <c r="BQ28" s="275" t="s">
        <v>1085</v>
      </c>
      <c r="BR28" s="275" t="s">
        <v>1085</v>
      </c>
      <c r="BS28" s="275" t="s">
        <v>1085</v>
      </c>
      <c r="BT28" s="275" t="s">
        <v>1085</v>
      </c>
      <c r="BU28" s="275" t="s">
        <v>1085</v>
      </c>
      <c r="BV28" s="275" t="s">
        <v>1085</v>
      </c>
      <c r="BW28" s="275" t="s">
        <v>1085</v>
      </c>
      <c r="BX28" s="275">
        <v>0</v>
      </c>
      <c r="BY28" s="54">
        <v>0</v>
      </c>
      <c r="BZ28" s="54">
        <v>0.15</v>
      </c>
      <c r="CA28" s="275">
        <v>0</v>
      </c>
      <c r="CB28" s="275">
        <v>0</v>
      </c>
      <c r="CC28" s="275" t="s">
        <v>1085</v>
      </c>
      <c r="CD28" s="275" t="s">
        <v>1085</v>
      </c>
      <c r="CE28" s="275">
        <v>0</v>
      </c>
      <c r="CF28" s="275" t="s">
        <v>1085</v>
      </c>
      <c r="CG28" s="275" t="s">
        <v>1085</v>
      </c>
      <c r="CH28" s="275" t="s">
        <v>1085</v>
      </c>
      <c r="CI28" s="275">
        <v>0</v>
      </c>
      <c r="CJ28" s="275" t="s">
        <v>1085</v>
      </c>
      <c r="CK28" s="274" t="s">
        <v>214</v>
      </c>
      <c r="CL28" s="275" t="s">
        <v>1085</v>
      </c>
      <c r="CM28" s="275" t="s">
        <v>1085</v>
      </c>
      <c r="CN28" s="277">
        <v>0.1</v>
      </c>
      <c r="CO28" s="275">
        <v>0</v>
      </c>
      <c r="CP28" s="275" t="s">
        <v>1085</v>
      </c>
      <c r="CQ28" s="275" t="s">
        <v>1085</v>
      </c>
      <c r="CR28" s="275" t="s">
        <v>1085</v>
      </c>
      <c r="CS28" s="275" t="s">
        <v>1085</v>
      </c>
      <c r="CT28" s="275">
        <v>0</v>
      </c>
      <c r="CU28" s="275" t="s">
        <v>1085</v>
      </c>
      <c r="CV28" s="275" t="s">
        <v>1085</v>
      </c>
      <c r="CW28" s="275" t="s">
        <v>1085</v>
      </c>
      <c r="CX28" s="275" t="s">
        <v>1085</v>
      </c>
      <c r="CY28" s="275" t="s">
        <v>1085</v>
      </c>
      <c r="CZ28" s="275" t="s">
        <v>1085</v>
      </c>
      <c r="DA28" s="275" t="s">
        <v>1085</v>
      </c>
      <c r="DB28" s="275">
        <v>0</v>
      </c>
      <c r="DC28" s="275">
        <v>0</v>
      </c>
      <c r="DD28" s="275">
        <v>0</v>
      </c>
      <c r="DE28" s="275">
        <v>0</v>
      </c>
      <c r="DF28" s="275">
        <v>0</v>
      </c>
      <c r="DG28" s="275">
        <v>0</v>
      </c>
      <c r="DH28" s="405">
        <v>0</v>
      </c>
    </row>
    <row r="29" spans="1:112" ht="16.5" customHeight="1" x14ac:dyDescent="0.2">
      <c r="A29" s="440"/>
      <c r="B29" s="255" t="s">
        <v>1274</v>
      </c>
      <c r="C29" s="256">
        <v>131</v>
      </c>
      <c r="D29" s="257">
        <v>1.36</v>
      </c>
      <c r="E29" s="257">
        <v>1.36</v>
      </c>
      <c r="F29" s="258">
        <v>0.6</v>
      </c>
      <c r="G29" s="258">
        <v>0.95492478099235456</v>
      </c>
      <c r="H29" s="258">
        <v>0.95492478099235456</v>
      </c>
      <c r="I29" s="258">
        <v>0.49412360063472593</v>
      </c>
      <c r="J29" s="257">
        <v>168.88427965662507</v>
      </c>
      <c r="K29" s="258">
        <v>0.30128512566854243</v>
      </c>
      <c r="L29" s="258">
        <v>0</v>
      </c>
      <c r="M29" s="258">
        <v>8.6786024696598414</v>
      </c>
      <c r="N29" s="258">
        <v>1.0818023976049367</v>
      </c>
      <c r="O29" s="258">
        <v>1.4580000000000268</v>
      </c>
      <c r="P29" s="259">
        <v>1.1129770992366617E-2</v>
      </c>
      <c r="Q29" s="258">
        <v>0.30128512566854243</v>
      </c>
      <c r="R29" s="258">
        <v>0.95800000000002683</v>
      </c>
      <c r="S29" s="260">
        <v>7.3129770992368462E-3</v>
      </c>
      <c r="T29" s="261">
        <v>0.47562687559677641</v>
      </c>
      <c r="U29" s="262">
        <v>0.17767349885210013</v>
      </c>
      <c r="V29" s="263">
        <v>0</v>
      </c>
      <c r="W29" s="263">
        <v>0</v>
      </c>
      <c r="X29" s="264">
        <v>1</v>
      </c>
      <c r="Y29" s="265"/>
      <c r="Z29" s="266">
        <v>0.6</v>
      </c>
      <c r="AA29" s="262">
        <v>0.28274333882308139</v>
      </c>
      <c r="AB29" s="267">
        <v>2.0182367298936832</v>
      </c>
      <c r="AC29" s="258">
        <v>0.16727171196982485</v>
      </c>
      <c r="AD29" s="258">
        <v>0.25619999999999998</v>
      </c>
      <c r="AE29" s="259">
        <v>0.52</v>
      </c>
      <c r="AF29" s="258">
        <v>0.312</v>
      </c>
      <c r="AG29" s="258">
        <v>0.15372</v>
      </c>
      <c r="AH29" s="258">
        <v>0.60394359872710013</v>
      </c>
      <c r="AI29" s="258">
        <v>0</v>
      </c>
      <c r="AJ29" s="267">
        <v>0.60394359872710013</v>
      </c>
      <c r="AK29" s="258">
        <v>314.072</v>
      </c>
      <c r="AL29" s="268">
        <v>313.11399999999998</v>
      </c>
      <c r="AM29" s="257">
        <v>1.5</v>
      </c>
      <c r="AN29" s="257">
        <v>2</v>
      </c>
      <c r="AO29" s="269">
        <v>312.572</v>
      </c>
      <c r="AP29" s="269">
        <v>311.11399999999998</v>
      </c>
      <c r="AQ29" s="258">
        <v>312.88400000000001</v>
      </c>
      <c r="AR29" s="258">
        <v>311.42599999999999</v>
      </c>
      <c r="AS29" s="257">
        <v>0.83699999999998909</v>
      </c>
      <c r="AT29" s="270">
        <v>1.3369999999999891</v>
      </c>
      <c r="AU29" s="271"/>
      <c r="AV29" s="404" t="s">
        <v>1274</v>
      </c>
      <c r="AW29" s="272">
        <v>131</v>
      </c>
      <c r="AX29" s="273">
        <v>0</v>
      </c>
      <c r="AY29" s="273">
        <v>1</v>
      </c>
      <c r="AZ29" s="273">
        <v>0</v>
      </c>
      <c r="BA29" s="273">
        <v>600</v>
      </c>
      <c r="BB29" s="274" t="s">
        <v>213</v>
      </c>
      <c r="BC29" s="275">
        <v>1.5</v>
      </c>
      <c r="BD29" s="275">
        <v>2</v>
      </c>
      <c r="BE29" s="275">
        <v>0</v>
      </c>
      <c r="BF29" s="276">
        <v>4</v>
      </c>
      <c r="BG29" s="276" t="s">
        <v>1359</v>
      </c>
      <c r="BH29" s="275">
        <v>1.75</v>
      </c>
      <c r="BI29" s="275">
        <v>1.8759999999999999</v>
      </c>
      <c r="BJ29" s="275">
        <v>1.2</v>
      </c>
      <c r="BK29" s="275">
        <v>2.1379999999999999</v>
      </c>
      <c r="BL29" s="275" t="s">
        <v>1085</v>
      </c>
      <c r="BM29" s="275" t="s">
        <v>1085</v>
      </c>
      <c r="BN29" s="275" t="s">
        <v>1085</v>
      </c>
      <c r="BO29" s="275" t="s">
        <v>1085</v>
      </c>
      <c r="BP29" s="275" t="s">
        <v>1085</v>
      </c>
      <c r="BQ29" s="275">
        <v>410.16676399999994</v>
      </c>
      <c r="BR29" s="275" t="s">
        <v>1085</v>
      </c>
      <c r="BS29" s="275" t="s">
        <v>1085</v>
      </c>
      <c r="BT29" s="275" t="s">
        <v>1085</v>
      </c>
      <c r="BU29" s="275" t="s">
        <v>1085</v>
      </c>
      <c r="BV29" s="275" t="s">
        <v>1085</v>
      </c>
      <c r="BW29" s="275" t="s">
        <v>1085</v>
      </c>
      <c r="BX29" s="275">
        <v>54.22935243058442</v>
      </c>
      <c r="BY29" s="54">
        <v>0</v>
      </c>
      <c r="BZ29" s="54">
        <v>0.15</v>
      </c>
      <c r="CA29" s="275">
        <v>0</v>
      </c>
      <c r="CB29" s="275">
        <v>62.363755295172076</v>
      </c>
      <c r="CC29" s="275" t="s">
        <v>1085</v>
      </c>
      <c r="CD29" s="275" t="s">
        <v>1085</v>
      </c>
      <c r="CE29" s="275" t="s">
        <v>1085</v>
      </c>
      <c r="CF29" s="275">
        <v>491.51199999999994</v>
      </c>
      <c r="CG29" s="275" t="s">
        <v>1085</v>
      </c>
      <c r="CH29" s="275" t="s">
        <v>1085</v>
      </c>
      <c r="CI29" s="275">
        <v>157.19999999999999</v>
      </c>
      <c r="CJ29" s="275" t="s">
        <v>1085</v>
      </c>
      <c r="CK29" s="274" t="s">
        <v>214</v>
      </c>
      <c r="CL29" s="275" t="s">
        <v>1085</v>
      </c>
      <c r="CM29" s="275" t="s">
        <v>1085</v>
      </c>
      <c r="CN29" s="277">
        <v>0.1</v>
      </c>
      <c r="CO29" s="275">
        <v>0</v>
      </c>
      <c r="CP29" s="275" t="s">
        <v>1085</v>
      </c>
      <c r="CQ29" s="275" t="s">
        <v>1085</v>
      </c>
      <c r="CR29" s="275" t="s">
        <v>1085</v>
      </c>
      <c r="CS29" s="275" t="s">
        <v>1085</v>
      </c>
      <c r="CT29" s="275" t="s">
        <v>1085</v>
      </c>
      <c r="CU29" s="275">
        <v>355.93741156941553</v>
      </c>
      <c r="CV29" s="275" t="s">
        <v>1085</v>
      </c>
      <c r="CW29" s="275" t="s">
        <v>1085</v>
      </c>
      <c r="CX29" s="275" t="s">
        <v>1085</v>
      </c>
      <c r="CY29" s="275" t="s">
        <v>1085</v>
      </c>
      <c r="CZ29" s="275" t="s">
        <v>1085</v>
      </c>
      <c r="DA29" s="275" t="s">
        <v>1085</v>
      </c>
      <c r="DB29" s="275">
        <v>41.003</v>
      </c>
      <c r="DC29" s="275">
        <v>0</v>
      </c>
      <c r="DD29" s="275">
        <v>131</v>
      </c>
      <c r="DE29" s="275">
        <v>0</v>
      </c>
      <c r="DF29" s="275">
        <v>0</v>
      </c>
      <c r="DG29" s="275">
        <v>0</v>
      </c>
      <c r="DH29" s="405">
        <v>0</v>
      </c>
    </row>
    <row r="30" spans="1:112" s="174" customFormat="1" ht="30" customHeight="1" x14ac:dyDescent="0.2">
      <c r="D30" s="400"/>
      <c r="AU30" s="278"/>
      <c r="AV30" s="404" t="s">
        <v>372</v>
      </c>
      <c r="AW30" s="272">
        <v>486</v>
      </c>
      <c r="AX30" s="273">
        <v>0</v>
      </c>
      <c r="AY30" s="273">
        <v>1</v>
      </c>
      <c r="AZ30" s="273">
        <v>0</v>
      </c>
      <c r="BA30" s="273">
        <v>400</v>
      </c>
      <c r="BB30" s="274" t="s">
        <v>213</v>
      </c>
      <c r="BC30" s="275">
        <v>1</v>
      </c>
      <c r="BD30" s="275">
        <v>1.5</v>
      </c>
      <c r="BE30" s="275">
        <v>0</v>
      </c>
      <c r="BF30" s="276">
        <v>4</v>
      </c>
      <c r="BG30" s="276" t="s">
        <v>1360</v>
      </c>
      <c r="BH30" s="275">
        <v>1.25</v>
      </c>
      <c r="BI30" s="275">
        <v>1.3340000000000001</v>
      </c>
      <c r="BJ30" s="275">
        <v>0.8</v>
      </c>
      <c r="BK30" s="275">
        <v>1.4670000000000001</v>
      </c>
      <c r="BL30" s="275" t="s">
        <v>1085</v>
      </c>
      <c r="BM30" s="275">
        <v>734.87525400000015</v>
      </c>
      <c r="BN30" s="275" t="s">
        <v>1085</v>
      </c>
      <c r="BO30" s="275" t="s">
        <v>1085</v>
      </c>
      <c r="BP30" s="275" t="s">
        <v>1085</v>
      </c>
      <c r="BQ30" s="275" t="s">
        <v>1085</v>
      </c>
      <c r="BR30" s="275" t="s">
        <v>1085</v>
      </c>
      <c r="BS30" s="275" t="s">
        <v>1085</v>
      </c>
      <c r="BT30" s="275" t="s">
        <v>1085</v>
      </c>
      <c r="BU30" s="275" t="s">
        <v>1085</v>
      </c>
      <c r="BV30" s="275" t="s">
        <v>1085</v>
      </c>
      <c r="BW30" s="275" t="s">
        <v>1085</v>
      </c>
      <c r="BX30" s="275">
        <v>89.416336832108669</v>
      </c>
      <c r="BY30" s="54">
        <v>0</v>
      </c>
      <c r="BZ30" s="54">
        <v>0.15</v>
      </c>
      <c r="CA30" s="275">
        <v>0</v>
      </c>
      <c r="CB30" s="275">
        <v>102.82878735692496</v>
      </c>
      <c r="CC30" s="275" t="s">
        <v>1085</v>
      </c>
      <c r="CD30" s="275" t="s">
        <v>1085</v>
      </c>
      <c r="CE30" s="275" t="s">
        <v>1085</v>
      </c>
      <c r="CF30" s="275" t="s">
        <v>1085</v>
      </c>
      <c r="CG30" s="275" t="s">
        <v>1085</v>
      </c>
      <c r="CH30" s="275" t="s">
        <v>1085</v>
      </c>
      <c r="CI30" s="275">
        <v>388.8</v>
      </c>
      <c r="CJ30" s="275" t="s">
        <v>1085</v>
      </c>
      <c r="CK30" s="274" t="s">
        <v>214</v>
      </c>
      <c r="CL30" s="275" t="s">
        <v>1085</v>
      </c>
      <c r="CM30" s="275" t="s">
        <v>1085</v>
      </c>
      <c r="CN30" s="277">
        <v>0.1</v>
      </c>
      <c r="CO30" s="275">
        <v>0</v>
      </c>
      <c r="CP30" s="275" t="s">
        <v>1085</v>
      </c>
      <c r="CQ30" s="275">
        <v>645.45891716789151</v>
      </c>
      <c r="CR30" s="275" t="s">
        <v>1085</v>
      </c>
      <c r="CS30" s="275" t="s">
        <v>1085</v>
      </c>
      <c r="CT30" s="275" t="s">
        <v>1085</v>
      </c>
      <c r="CU30" s="275" t="s">
        <v>1085</v>
      </c>
      <c r="CV30" s="275" t="s">
        <v>1085</v>
      </c>
      <c r="CW30" s="275" t="s">
        <v>1085</v>
      </c>
      <c r="CX30" s="275" t="s">
        <v>1085</v>
      </c>
      <c r="CY30" s="275" t="s">
        <v>1085</v>
      </c>
      <c r="CZ30" s="275" t="s">
        <v>1085</v>
      </c>
      <c r="DA30" s="275" t="s">
        <v>1085</v>
      </c>
      <c r="DB30" s="275">
        <v>48.6</v>
      </c>
      <c r="DC30" s="275">
        <v>486</v>
      </c>
      <c r="DD30" s="275">
        <v>0</v>
      </c>
      <c r="DE30" s="275">
        <v>0</v>
      </c>
      <c r="DF30" s="275">
        <v>0</v>
      </c>
      <c r="DG30" s="275">
        <v>0</v>
      </c>
      <c r="DH30" s="405">
        <v>0</v>
      </c>
    </row>
    <row r="31" spans="1:112" s="174" customFormat="1" ht="21.75" customHeight="1" thickBot="1" x14ac:dyDescent="0.25">
      <c r="B31" s="279"/>
      <c r="C31" s="280"/>
      <c r="D31" s="400"/>
      <c r="E31" s="280"/>
      <c r="F31" s="280"/>
      <c r="G31" s="281"/>
      <c r="H31" s="280"/>
      <c r="I31" s="280"/>
      <c r="J31" s="280"/>
      <c r="K31" s="280"/>
      <c r="L31" s="280"/>
      <c r="M31" s="280"/>
      <c r="N31" s="280"/>
      <c r="O31" s="280"/>
      <c r="P31" s="282"/>
      <c r="Q31" s="280"/>
      <c r="R31" s="280"/>
      <c r="S31" s="280"/>
      <c r="T31" s="280"/>
      <c r="U31" s="280"/>
      <c r="V31" s="283"/>
      <c r="W31" s="280"/>
      <c r="X31" s="280"/>
      <c r="Y31" s="280"/>
      <c r="Z31" s="284"/>
      <c r="AA31" s="285"/>
      <c r="AB31" s="280"/>
      <c r="AC31" s="280"/>
      <c r="AD31" s="280"/>
      <c r="AE31" s="282"/>
      <c r="AF31" s="280"/>
      <c r="AG31" s="280"/>
      <c r="AH31" s="280"/>
      <c r="AI31" s="280"/>
      <c r="AJ31" s="280"/>
      <c r="AK31" s="280"/>
      <c r="AL31" s="280"/>
      <c r="AM31" s="280"/>
      <c r="AN31" s="280"/>
      <c r="AO31" s="280"/>
      <c r="AP31" s="280"/>
      <c r="AQ31" s="280"/>
      <c r="AR31" s="280"/>
      <c r="AS31" s="278"/>
      <c r="AT31" s="278"/>
      <c r="AU31" s="278"/>
      <c r="AV31" s="406" t="s">
        <v>55</v>
      </c>
      <c r="AW31" s="407">
        <v>909</v>
      </c>
      <c r="AX31" s="408" t="s">
        <v>95</v>
      </c>
      <c r="AY31" s="408" t="s">
        <v>95</v>
      </c>
      <c r="AZ31" s="408" t="s">
        <v>95</v>
      </c>
      <c r="BA31" s="408" t="s">
        <v>95</v>
      </c>
      <c r="BB31" s="408" t="s">
        <v>95</v>
      </c>
      <c r="BC31" s="408" t="s">
        <v>95</v>
      </c>
      <c r="BD31" s="408" t="s">
        <v>95</v>
      </c>
      <c r="BE31" s="408" t="s">
        <v>95</v>
      </c>
      <c r="BF31" s="408" t="s">
        <v>95</v>
      </c>
      <c r="BG31" s="408" t="s">
        <v>95</v>
      </c>
      <c r="BH31" s="408" t="s">
        <v>95</v>
      </c>
      <c r="BI31" s="408" t="s">
        <v>95</v>
      </c>
      <c r="BJ31" s="408" t="s">
        <v>95</v>
      </c>
      <c r="BK31" s="408" t="s">
        <v>95</v>
      </c>
      <c r="BL31" s="407">
        <v>0</v>
      </c>
      <c r="BM31" s="407">
        <v>734.87525400000015</v>
      </c>
      <c r="BN31" s="407">
        <v>0</v>
      </c>
      <c r="BO31" s="407">
        <v>0</v>
      </c>
      <c r="BP31" s="407">
        <v>0</v>
      </c>
      <c r="BQ31" s="407">
        <v>1685.1705099999999</v>
      </c>
      <c r="BR31" s="407">
        <v>0</v>
      </c>
      <c r="BS31" s="407">
        <v>0</v>
      </c>
      <c r="BT31" s="407">
        <v>0</v>
      </c>
      <c r="BU31" s="407">
        <v>0</v>
      </c>
      <c r="BV31" s="407">
        <v>0</v>
      </c>
      <c r="BW31" s="407">
        <v>0</v>
      </c>
      <c r="BX31" s="407">
        <v>527.98875025502844</v>
      </c>
      <c r="BY31" s="407">
        <v>0</v>
      </c>
      <c r="BZ31" s="407" t="s">
        <v>95</v>
      </c>
      <c r="CA31" s="407">
        <v>0</v>
      </c>
      <c r="CB31" s="407">
        <v>607.18706279328262</v>
      </c>
      <c r="CC31" s="407">
        <v>0</v>
      </c>
      <c r="CD31" s="407">
        <v>0</v>
      </c>
      <c r="CE31" s="407">
        <v>0</v>
      </c>
      <c r="CF31" s="407">
        <v>1303.6559999999999</v>
      </c>
      <c r="CG31" s="407">
        <v>0</v>
      </c>
      <c r="CH31" s="407">
        <v>0</v>
      </c>
      <c r="CI31" s="407">
        <v>546</v>
      </c>
      <c r="CJ31" s="407">
        <v>506.76</v>
      </c>
      <c r="CK31" s="407" t="s">
        <v>95</v>
      </c>
      <c r="CL31" s="407">
        <v>0</v>
      </c>
      <c r="CM31" s="407">
        <v>0</v>
      </c>
      <c r="CN31" s="407" t="s">
        <v>95</v>
      </c>
      <c r="CO31" s="407">
        <v>0</v>
      </c>
      <c r="CP31" s="407">
        <v>0</v>
      </c>
      <c r="CQ31" s="407">
        <v>645.45891716789151</v>
      </c>
      <c r="CR31" s="407">
        <v>0</v>
      </c>
      <c r="CS31" s="407">
        <v>0</v>
      </c>
      <c r="CT31" s="407">
        <v>0</v>
      </c>
      <c r="CU31" s="407">
        <v>1246.5980965770802</v>
      </c>
      <c r="CV31" s="407">
        <v>0</v>
      </c>
      <c r="CW31" s="407">
        <v>0</v>
      </c>
      <c r="CX31" s="407">
        <v>0</v>
      </c>
      <c r="CY31" s="407">
        <v>0</v>
      </c>
      <c r="CZ31" s="407">
        <v>0</v>
      </c>
      <c r="DA31" s="407">
        <v>0</v>
      </c>
      <c r="DB31" s="407">
        <v>307.11100000000005</v>
      </c>
      <c r="DC31" s="407">
        <v>486</v>
      </c>
      <c r="DD31" s="407">
        <v>131</v>
      </c>
      <c r="DE31" s="407">
        <v>0</v>
      </c>
      <c r="DF31" s="407">
        <v>196</v>
      </c>
      <c r="DG31" s="407">
        <v>96</v>
      </c>
      <c r="DH31" s="409">
        <v>0</v>
      </c>
    </row>
    <row r="32" spans="1:112" ht="16.5" customHeight="1" x14ac:dyDescent="0.2">
      <c r="H32" s="271"/>
    </row>
    <row r="33" spans="48:111" ht="16.5" customHeight="1" x14ac:dyDescent="0.2">
      <c r="AV33" s="288" t="s">
        <v>302</v>
      </c>
      <c r="AW33" s="289"/>
      <c r="AX33" s="289"/>
      <c r="AY33" s="289"/>
      <c r="AZ33" s="289"/>
      <c r="BA33" s="289"/>
      <c r="BB33" s="289"/>
      <c r="BC33" s="290"/>
      <c r="BD33" s="290"/>
      <c r="BE33" s="290"/>
      <c r="BF33" s="290"/>
      <c r="BG33" s="290"/>
      <c r="BH33" s="290"/>
      <c r="BI33" s="290"/>
      <c r="BJ33" s="290"/>
      <c r="BK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1"/>
      <c r="CC33" s="290"/>
      <c r="CD33" s="290"/>
      <c r="CE33" s="290"/>
      <c r="CF33" s="290"/>
      <c r="CG33" s="290"/>
      <c r="CH33" s="290"/>
      <c r="CI33" s="290"/>
      <c r="CJ33" s="290"/>
      <c r="CK33" s="290"/>
      <c r="CL33" s="290"/>
      <c r="CM33" s="290"/>
      <c r="CN33" s="292"/>
      <c r="CO33" s="290"/>
      <c r="CP33" s="290"/>
      <c r="CQ33" s="290"/>
      <c r="CR33" s="290"/>
      <c r="CS33" s="290"/>
      <c r="CT33" s="290"/>
      <c r="CU33" s="290"/>
      <c r="CV33" s="290"/>
      <c r="CW33" s="290"/>
      <c r="CX33" s="290"/>
      <c r="CY33" s="290"/>
      <c r="CZ33" s="290"/>
      <c r="DA33" s="290"/>
      <c r="DB33" s="290"/>
      <c r="DC33" s="493"/>
      <c r="DD33" s="493"/>
      <c r="DE33" s="493"/>
      <c r="DF33" s="493"/>
      <c r="DG33" s="493"/>
    </row>
    <row r="34" spans="48:111" s="293" customFormat="1" ht="16.5" customHeight="1" x14ac:dyDescent="0.2">
      <c r="AV34" s="288" t="s">
        <v>303</v>
      </c>
      <c r="AW34" s="289"/>
      <c r="AX34" s="289"/>
      <c r="AY34" s="289"/>
      <c r="AZ34" s="289"/>
      <c r="BA34" s="289"/>
      <c r="BB34" s="289"/>
      <c r="BC34" s="290"/>
      <c r="BD34" s="290"/>
      <c r="BE34" s="290"/>
      <c r="BF34" s="290"/>
      <c r="BG34" s="290"/>
      <c r="BH34" s="290"/>
      <c r="BI34" s="290"/>
      <c r="BJ34" s="290"/>
      <c r="BK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290"/>
      <c r="CE34" s="290"/>
      <c r="CF34" s="290"/>
      <c r="CG34" s="290"/>
      <c r="CH34" s="290"/>
      <c r="CI34" s="290"/>
      <c r="CJ34" s="290"/>
      <c r="CK34" s="290"/>
      <c r="CL34" s="290"/>
      <c r="CM34" s="290"/>
      <c r="CN34" s="292"/>
      <c r="CO34" s="290"/>
      <c r="CP34" s="290"/>
      <c r="CQ34" s="290"/>
      <c r="CR34" s="290"/>
      <c r="CS34" s="290"/>
      <c r="CT34" s="290"/>
      <c r="CU34" s="290"/>
      <c r="CV34" s="290"/>
      <c r="CW34" s="290"/>
      <c r="CX34" s="290"/>
      <c r="CY34" s="290"/>
      <c r="CZ34" s="290"/>
      <c r="DA34" s="290"/>
      <c r="DB34" s="290"/>
      <c r="DC34" s="494"/>
      <c r="DD34" s="494"/>
      <c r="DE34" s="494"/>
      <c r="DF34" s="494"/>
      <c r="DG34" s="494"/>
    </row>
    <row r="35" spans="48:111" s="293" customFormat="1" ht="16.5" customHeight="1" x14ac:dyDescent="0.2">
      <c r="AW35" s="289"/>
      <c r="AX35" s="289"/>
      <c r="AY35" s="289"/>
      <c r="AZ35" s="289"/>
      <c r="BA35" s="289"/>
      <c r="BB35" s="289"/>
      <c r="BC35" s="290"/>
      <c r="BD35" s="290"/>
      <c r="BE35" s="290"/>
      <c r="BF35" s="290"/>
      <c r="BG35" s="290"/>
      <c r="BH35" s="290"/>
      <c r="BI35" s="290"/>
      <c r="BJ35" s="290"/>
      <c r="BK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292"/>
      <c r="CO35" s="290"/>
      <c r="CP35" s="290"/>
      <c r="CQ35" s="290"/>
      <c r="CR35" s="290"/>
      <c r="CS35" s="290"/>
      <c r="CT35" s="290"/>
      <c r="CU35" s="290"/>
      <c r="CV35" s="290"/>
      <c r="CW35" s="290"/>
      <c r="CX35" s="290"/>
      <c r="CY35" s="290"/>
      <c r="CZ35" s="290"/>
      <c r="DA35" s="290"/>
      <c r="DB35" s="290"/>
    </row>
    <row r="36" spans="48:111" ht="16.5" customHeight="1" x14ac:dyDescent="0.2">
      <c r="AV36" s="288"/>
      <c r="AW36" s="289"/>
      <c r="AX36" s="289"/>
      <c r="AY36" s="289"/>
      <c r="AZ36" s="289"/>
      <c r="BA36" s="289"/>
      <c r="BB36" s="289"/>
      <c r="BC36" s="290"/>
      <c r="BD36" s="290"/>
      <c r="BE36" s="290"/>
      <c r="BF36" s="290"/>
      <c r="BG36" s="290"/>
      <c r="BH36" s="290"/>
      <c r="BI36" s="290"/>
      <c r="BJ36" s="290"/>
      <c r="BK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290"/>
      <c r="CE36" s="290"/>
      <c r="CF36" s="290"/>
      <c r="CG36" s="290"/>
      <c r="CH36" s="290"/>
      <c r="CI36" s="290"/>
      <c r="CJ36" s="290"/>
      <c r="CK36" s="290"/>
      <c r="CL36" s="290"/>
      <c r="CM36" s="290"/>
      <c r="CN36" s="292"/>
      <c r="CO36" s="290"/>
      <c r="CP36" s="290"/>
      <c r="CQ36" s="290"/>
      <c r="CR36" s="290"/>
      <c r="CS36" s="290"/>
      <c r="CT36" s="290"/>
      <c r="CU36" s="290"/>
      <c r="CV36" s="290"/>
      <c r="CW36" s="290"/>
      <c r="CX36" s="290"/>
      <c r="CY36" s="290"/>
      <c r="CZ36" s="290"/>
      <c r="DA36" s="290"/>
      <c r="DB36" s="290"/>
      <c r="DC36" s="495"/>
    </row>
    <row r="37" spans="48:111" ht="16.5" customHeight="1" x14ac:dyDescent="0.2">
      <c r="AV37" s="289"/>
      <c r="AW37" s="289"/>
      <c r="AX37" s="289"/>
      <c r="AY37" s="289"/>
      <c r="AZ37" s="289"/>
      <c r="BA37" s="289"/>
      <c r="BB37" s="289"/>
      <c r="BC37" s="290"/>
      <c r="BD37" s="290"/>
      <c r="BE37" s="290"/>
      <c r="BF37" s="290"/>
      <c r="BG37" s="290"/>
      <c r="BH37" s="300" t="s">
        <v>373</v>
      </c>
      <c r="BJ37" s="300"/>
      <c r="BK37" s="30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301"/>
      <c r="CG37" s="290"/>
      <c r="CH37" s="290"/>
      <c r="CI37" s="290"/>
      <c r="CJ37" s="290"/>
      <c r="CK37" s="290"/>
      <c r="CL37" s="290"/>
      <c r="CM37" s="290"/>
      <c r="CN37" s="292"/>
      <c r="CO37" s="290"/>
      <c r="CP37" s="290"/>
      <c r="CQ37" s="290"/>
      <c r="CR37" s="290"/>
      <c r="CS37" s="290"/>
      <c r="CT37" s="290"/>
      <c r="CU37" s="290"/>
      <c r="CV37" s="290"/>
      <c r="CW37" s="290"/>
      <c r="CX37" s="290"/>
      <c r="CY37" s="290"/>
      <c r="CZ37" s="290"/>
      <c r="DA37" s="290"/>
      <c r="DB37" s="290"/>
    </row>
    <row r="38" spans="48:111" ht="16.5" customHeight="1" x14ac:dyDescent="0.2">
      <c r="AV38" s="632" t="s">
        <v>218</v>
      </c>
      <c r="AW38" s="632"/>
      <c r="AX38" s="302">
        <v>400</v>
      </c>
      <c r="AY38" s="302">
        <v>500</v>
      </c>
      <c r="AZ38" s="302">
        <v>500</v>
      </c>
      <c r="BA38" s="302">
        <v>600</v>
      </c>
      <c r="BB38" s="302">
        <v>700</v>
      </c>
      <c r="BC38" s="302">
        <v>800</v>
      </c>
      <c r="BD38" s="302">
        <v>900</v>
      </c>
      <c r="BE38" s="302">
        <v>1000</v>
      </c>
      <c r="BF38" s="302">
        <v>1200</v>
      </c>
      <c r="BG38" s="302">
        <v>1500</v>
      </c>
      <c r="BH38" s="302">
        <v>2000</v>
      </c>
      <c r="BJ38" s="303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  <c r="CM38" s="290"/>
      <c r="CN38" s="292"/>
      <c r="CO38" s="290"/>
      <c r="CP38" s="290"/>
      <c r="CQ38" s="290"/>
      <c r="CR38" s="290"/>
      <c r="CS38" s="290"/>
      <c r="CT38" s="290"/>
      <c r="CU38" s="290"/>
      <c r="CV38" s="290"/>
      <c r="CW38" s="290"/>
      <c r="CX38" s="290"/>
      <c r="CY38" s="290"/>
      <c r="CZ38" s="290"/>
      <c r="DA38" s="290"/>
      <c r="DB38" s="290"/>
    </row>
    <row r="39" spans="48:111" ht="16.5" customHeight="1" x14ac:dyDescent="0.2">
      <c r="AV39" s="632" t="s">
        <v>219</v>
      </c>
      <c r="AW39" s="632"/>
      <c r="AX39" s="304">
        <v>0.1</v>
      </c>
      <c r="AY39" s="304">
        <v>0.2495</v>
      </c>
      <c r="AZ39" s="304">
        <v>0.2495</v>
      </c>
      <c r="BA39" s="304">
        <v>0.313</v>
      </c>
      <c r="BB39" s="304">
        <v>0.48799999999999999</v>
      </c>
      <c r="BC39" s="304">
        <v>0.43</v>
      </c>
      <c r="BD39" s="304">
        <v>0.75849999999999995</v>
      </c>
      <c r="BE39" s="304">
        <v>0.66500000000000004</v>
      </c>
      <c r="BF39" s="304">
        <v>0.90800000000000003</v>
      </c>
      <c r="BG39" s="304">
        <v>1.1399999999999999</v>
      </c>
      <c r="BH39" s="304">
        <v>3.4</v>
      </c>
      <c r="BJ39" s="305"/>
      <c r="BP39" s="15"/>
      <c r="BQ39" s="15"/>
      <c r="BR39" s="15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  <c r="CM39" s="290"/>
      <c r="CN39" s="292"/>
      <c r="CO39" s="290"/>
      <c r="CP39" s="290"/>
      <c r="CQ39" s="290"/>
      <c r="CR39" s="290"/>
      <c r="CS39" s="290"/>
      <c r="CT39" s="290"/>
      <c r="CU39" s="290"/>
      <c r="CV39" s="290"/>
      <c r="CW39" s="290"/>
      <c r="CX39" s="290"/>
      <c r="CY39" s="290"/>
      <c r="CZ39" s="290"/>
      <c r="DA39" s="290"/>
      <c r="DB39" s="290"/>
    </row>
    <row r="40" spans="48:111" ht="16.5" customHeight="1" x14ac:dyDescent="0.2">
      <c r="BI40" s="290"/>
      <c r="BJ40" s="290"/>
      <c r="BK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  <c r="CM40" s="290"/>
      <c r="CN40" s="292"/>
      <c r="CO40" s="290"/>
      <c r="CP40" s="290"/>
      <c r="CQ40" s="290"/>
      <c r="CR40" s="290"/>
      <c r="CS40" s="290"/>
      <c r="CT40" s="290"/>
      <c r="CU40" s="290"/>
      <c r="CV40" s="290"/>
      <c r="CW40" s="290"/>
      <c r="CX40" s="290"/>
      <c r="CY40" s="290"/>
      <c r="CZ40" s="290"/>
      <c r="DA40" s="290"/>
      <c r="DB40" s="290"/>
    </row>
    <row r="41" spans="48:111" ht="16.5" hidden="1" customHeight="1" x14ac:dyDescent="0.2">
      <c r="AV41" s="633" t="s">
        <v>220</v>
      </c>
      <c r="AW41" s="634"/>
      <c r="AX41" s="634"/>
      <c r="AY41" s="634"/>
      <c r="AZ41" s="634"/>
      <c r="BA41" s="634"/>
      <c r="BB41" s="634"/>
      <c r="BC41" s="634"/>
      <c r="BD41" s="634"/>
      <c r="BE41" s="634"/>
      <c r="BF41" s="634"/>
      <c r="BG41" s="634"/>
      <c r="BH41" s="634"/>
      <c r="BI41" s="635"/>
      <c r="BJ41" s="306"/>
      <c r="BK41" s="306"/>
    </row>
    <row r="42" spans="48:111" ht="16.5" hidden="1" customHeight="1" x14ac:dyDescent="0.2">
      <c r="AV42" s="636" t="s">
        <v>221</v>
      </c>
      <c r="AW42" s="637"/>
      <c r="AX42" s="307" t="s">
        <v>222</v>
      </c>
      <c r="AY42" s="307" t="s">
        <v>222</v>
      </c>
      <c r="AZ42" s="307" t="s">
        <v>223</v>
      </c>
      <c r="BA42" s="307" t="s">
        <v>223</v>
      </c>
      <c r="BB42" s="307" t="s">
        <v>224</v>
      </c>
      <c r="BC42" s="307" t="s">
        <v>225</v>
      </c>
      <c r="BD42" s="307" t="s">
        <v>226</v>
      </c>
      <c r="BE42" s="307" t="s">
        <v>227</v>
      </c>
      <c r="BF42" s="307" t="s">
        <v>228</v>
      </c>
      <c r="BG42" s="307" t="s">
        <v>229</v>
      </c>
      <c r="BH42" s="307" t="s">
        <v>230</v>
      </c>
      <c r="BI42" s="307" t="s">
        <v>231</v>
      </c>
      <c r="BK42" s="305"/>
    </row>
    <row r="43" spans="48:111" ht="16.5" hidden="1" customHeight="1" x14ac:dyDescent="0.2">
      <c r="AV43" s="638"/>
      <c r="AW43" s="639"/>
      <c r="AX43" s="308">
        <v>1</v>
      </c>
      <c r="AY43" s="308">
        <v>1</v>
      </c>
      <c r="AZ43" s="308">
        <v>0</v>
      </c>
      <c r="BA43" s="308">
        <v>0</v>
      </c>
      <c r="BB43" s="309">
        <v>0.5</v>
      </c>
      <c r="BC43" s="309">
        <v>1</v>
      </c>
      <c r="BD43" s="310">
        <v>0</v>
      </c>
      <c r="BE43" s="310">
        <v>0</v>
      </c>
      <c r="BF43" s="310">
        <v>0</v>
      </c>
      <c r="BG43" s="55">
        <v>0</v>
      </c>
      <c r="BH43" s="55">
        <v>0</v>
      </c>
      <c r="BI43" s="55">
        <v>0</v>
      </c>
    </row>
    <row r="44" spans="48:111" ht="16.5" customHeight="1" x14ac:dyDescent="0.2">
      <c r="AV44" s="311"/>
      <c r="AW44" s="312"/>
      <c r="AX44" s="313"/>
      <c r="AY44" s="313"/>
      <c r="AZ44" s="313"/>
      <c r="BA44" s="313"/>
      <c r="BB44" s="313"/>
      <c r="BC44" s="313"/>
      <c r="BD44" s="313"/>
      <c r="BE44" s="313"/>
      <c r="BF44" s="56"/>
      <c r="BG44" s="314"/>
      <c r="BH44" s="315"/>
      <c r="BI44" s="56"/>
      <c r="BJ44" s="314"/>
      <c r="BK44" s="316"/>
    </row>
    <row r="45" spans="48:111" ht="16.5" customHeight="1" x14ac:dyDescent="0.2">
      <c r="AV45" s="311"/>
      <c r="AW45" s="312"/>
      <c r="AX45" s="313"/>
      <c r="AY45" s="313"/>
      <c r="AZ45" s="313"/>
      <c r="BA45" s="313"/>
      <c r="BB45" s="313"/>
      <c r="BC45" s="313"/>
      <c r="BD45" s="313"/>
      <c r="BE45" s="313"/>
      <c r="BF45" s="317"/>
      <c r="BG45" s="318"/>
      <c r="BH45" s="168"/>
      <c r="BI45" s="319"/>
      <c r="BJ45" s="318"/>
      <c r="BK45" s="316"/>
      <c r="CM45" s="320" t="s">
        <v>287</v>
      </c>
      <c r="CN45" s="318">
        <v>0</v>
      </c>
      <c r="CO45" s="15" t="s">
        <v>21</v>
      </c>
    </row>
    <row r="46" spans="48:111" ht="16.5" customHeight="1" x14ac:dyDescent="0.2">
      <c r="AV46" s="57" t="s">
        <v>374</v>
      </c>
      <c r="AX46" s="321">
        <v>9213.33</v>
      </c>
      <c r="AY46" s="15" t="s">
        <v>82</v>
      </c>
      <c r="BA46" s="15"/>
      <c r="BD46" s="640" t="s">
        <v>375</v>
      </c>
      <c r="BE46" s="640"/>
      <c r="BF46" s="640"/>
      <c r="BG46" s="322" t="s">
        <v>304</v>
      </c>
      <c r="BH46" s="323" t="s">
        <v>100</v>
      </c>
      <c r="BI46" s="137" t="s">
        <v>101</v>
      </c>
      <c r="CM46" s="320" t="s">
        <v>376</v>
      </c>
      <c r="CN46" s="318">
        <v>0</v>
      </c>
      <c r="CO46" s="15" t="s">
        <v>21</v>
      </c>
    </row>
    <row r="47" spans="48:111" ht="16.5" customHeight="1" x14ac:dyDescent="0.2">
      <c r="AV47" s="57" t="s">
        <v>377</v>
      </c>
      <c r="AX47" s="324">
        <v>1719.82</v>
      </c>
      <c r="AY47" s="15" t="s">
        <v>82</v>
      </c>
      <c r="BA47" s="15"/>
      <c r="BD47" s="630" t="s">
        <v>378</v>
      </c>
      <c r="BE47" s="630"/>
      <c r="BF47" s="630"/>
      <c r="BG47" s="325">
        <v>10</v>
      </c>
      <c r="BH47" s="326">
        <v>0.42599999999999999</v>
      </c>
      <c r="BI47" s="327">
        <v>4.26</v>
      </c>
    </row>
    <row r="48" spans="48:111" ht="16.5" customHeight="1" x14ac:dyDescent="0.2">
      <c r="AV48" s="328" t="s">
        <v>23</v>
      </c>
      <c r="AX48" s="329">
        <v>7407.68</v>
      </c>
      <c r="AY48" s="15" t="s">
        <v>21</v>
      </c>
      <c r="BA48" s="15"/>
      <c r="BD48" s="630" t="s">
        <v>379</v>
      </c>
      <c r="BE48" s="630"/>
      <c r="BF48" s="630"/>
      <c r="BG48" s="325">
        <v>2</v>
      </c>
      <c r="BH48" s="326">
        <v>0.74199999999999999</v>
      </c>
      <c r="BI48" s="327">
        <v>1.484</v>
      </c>
    </row>
    <row r="49" spans="48:106" ht="16.5" customHeight="1" x14ac:dyDescent="0.2">
      <c r="AV49" s="328" t="s">
        <v>287</v>
      </c>
      <c r="AX49" s="324">
        <v>563.52</v>
      </c>
      <c r="AY49" s="15" t="s">
        <v>21</v>
      </c>
      <c r="BA49" s="15"/>
      <c r="BD49" s="630" t="s">
        <v>380</v>
      </c>
      <c r="BE49" s="630"/>
      <c r="BF49" s="630"/>
      <c r="BG49" s="325">
        <v>0</v>
      </c>
      <c r="BH49" s="326">
        <v>1.0609999999999999</v>
      </c>
      <c r="BI49" s="327">
        <v>0</v>
      </c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1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</row>
    <row r="50" spans="48:106" ht="16.5" customHeight="1" x14ac:dyDescent="0.2">
      <c r="AV50" s="328" t="s">
        <v>376</v>
      </c>
      <c r="AX50" s="324">
        <v>0</v>
      </c>
      <c r="AY50" s="15" t="s">
        <v>21</v>
      </c>
      <c r="BA50" s="15"/>
      <c r="BD50" s="630" t="s">
        <v>381</v>
      </c>
      <c r="BE50" s="630"/>
      <c r="BF50" s="630"/>
      <c r="BG50" s="332">
        <v>2</v>
      </c>
      <c r="BH50" s="333">
        <v>2.5</v>
      </c>
      <c r="BI50" s="327">
        <v>5</v>
      </c>
    </row>
    <row r="51" spans="48:106" ht="16.5" customHeight="1" x14ac:dyDescent="0.2">
      <c r="AV51" s="57" t="s">
        <v>232</v>
      </c>
      <c r="AX51" s="324">
        <v>35.6</v>
      </c>
      <c r="AY51" s="15" t="s">
        <v>81</v>
      </c>
      <c r="BA51" s="15"/>
      <c r="BD51" s="630" t="s">
        <v>521</v>
      </c>
      <c r="BE51" s="630"/>
      <c r="BF51" s="630"/>
      <c r="BG51" s="332">
        <v>2</v>
      </c>
      <c r="BH51" s="333">
        <v>4.0199999999999996</v>
      </c>
      <c r="BI51" s="327">
        <v>8.0399999999999991</v>
      </c>
    </row>
    <row r="52" spans="48:106" ht="16.5" customHeight="1" x14ac:dyDescent="0.2">
      <c r="AV52" s="57" t="s">
        <v>233</v>
      </c>
      <c r="AX52" s="324">
        <v>12.2</v>
      </c>
      <c r="AY52" s="15" t="s">
        <v>81</v>
      </c>
      <c r="BA52" s="15"/>
      <c r="BD52" s="630" t="s">
        <v>1125</v>
      </c>
      <c r="BE52" s="630"/>
      <c r="BF52" s="630"/>
      <c r="BG52" s="332">
        <v>14</v>
      </c>
      <c r="BH52" s="443" t="s">
        <v>102</v>
      </c>
      <c r="BI52" s="444">
        <v>18.783999999999999</v>
      </c>
    </row>
    <row r="53" spans="48:106" ht="16.5" customHeight="1" x14ac:dyDescent="0.2">
      <c r="AV53" s="57" t="s">
        <v>234</v>
      </c>
      <c r="AX53" s="324">
        <v>12.2</v>
      </c>
      <c r="AY53" s="15" t="s">
        <v>81</v>
      </c>
      <c r="BA53" s="15"/>
      <c r="BD53" s="631"/>
      <c r="BE53" s="631"/>
      <c r="BF53" s="631"/>
      <c r="BG53" s="445"/>
      <c r="BH53" s="446"/>
      <c r="BI53" s="447"/>
    </row>
    <row r="54" spans="48:106" ht="16.5" customHeight="1" x14ac:dyDescent="0.2">
      <c r="AV54" s="57" t="s">
        <v>1263</v>
      </c>
      <c r="AX54" s="334">
        <v>1</v>
      </c>
      <c r="AY54" s="15" t="s">
        <v>81</v>
      </c>
      <c r="BA54" s="15"/>
      <c r="BD54" s="441"/>
      <c r="BE54" s="441"/>
      <c r="BF54" s="441"/>
      <c r="BG54" s="445"/>
    </row>
    <row r="55" spans="48:106" ht="16.5" customHeight="1" x14ac:dyDescent="0.2">
      <c r="BD55" s="441"/>
      <c r="BE55" s="441"/>
      <c r="BF55" s="441"/>
      <c r="BG55" s="442"/>
      <c r="BH55" s="447"/>
      <c r="BI55" s="447"/>
    </row>
    <row r="56" spans="48:106" ht="16.5" customHeight="1" x14ac:dyDescent="0.2">
      <c r="BD56" s="441"/>
      <c r="BE56" s="441"/>
      <c r="BF56" s="441"/>
      <c r="BG56" s="442"/>
      <c r="BH56" s="446"/>
      <c r="BI56" s="447"/>
    </row>
    <row r="57" spans="48:106" ht="16.5" customHeight="1" x14ac:dyDescent="0.2">
      <c r="BD57" s="441"/>
      <c r="BE57" s="441"/>
      <c r="BF57" s="441"/>
      <c r="BG57" s="442"/>
    </row>
    <row r="59" spans="48:106" ht="16.5" customHeight="1" x14ac:dyDescent="0.2">
      <c r="BD59" s="627"/>
      <c r="BE59" s="627"/>
      <c r="BF59" s="627"/>
      <c r="BG59" s="313"/>
      <c r="BH59" s="336"/>
      <c r="BI59" s="337"/>
    </row>
    <row r="60" spans="48:106" ht="16.5" customHeight="1" x14ac:dyDescent="0.2">
      <c r="BD60" s="627"/>
      <c r="BE60" s="627"/>
      <c r="BF60" s="627"/>
      <c r="BG60" s="313"/>
      <c r="BH60" s="336"/>
      <c r="BI60" s="337"/>
    </row>
    <row r="90" spans="1:4" s="168" customFormat="1" ht="16.5" customHeight="1" x14ac:dyDescent="0.2">
      <c r="A90" s="58" t="s">
        <v>235</v>
      </c>
      <c r="B90" s="59"/>
      <c r="C90" s="59"/>
      <c r="D90" s="59"/>
    </row>
    <row r="91" spans="1:4" s="168" customFormat="1" ht="16.5" customHeight="1" x14ac:dyDescent="0.2">
      <c r="A91" s="164"/>
      <c r="B91" s="164"/>
      <c r="C91" s="164"/>
      <c r="D91" s="164"/>
    </row>
    <row r="92" spans="1:4" s="168" customFormat="1" ht="16.5" customHeight="1" x14ac:dyDescent="0.2">
      <c r="A92" s="163" t="s">
        <v>236</v>
      </c>
      <c r="B92" s="163" t="s">
        <v>237</v>
      </c>
      <c r="C92" s="163" t="s">
        <v>238</v>
      </c>
      <c r="D92" s="163" t="s">
        <v>239</v>
      </c>
    </row>
    <row r="93" spans="1:4" s="168" customFormat="1" ht="16.5" customHeight="1" x14ac:dyDescent="0.2">
      <c r="A93" s="32">
        <v>1</v>
      </c>
      <c r="B93" s="60" t="s">
        <v>240</v>
      </c>
      <c r="C93" s="32">
        <v>0.8</v>
      </c>
      <c r="D93" s="32">
        <v>5.8000000000000003E-2</v>
      </c>
    </row>
    <row r="94" spans="1:4" s="168" customFormat="1" ht="16.5" customHeight="1" x14ac:dyDescent="0.2">
      <c r="A94" s="32">
        <v>2</v>
      </c>
      <c r="B94" s="60" t="s">
        <v>241</v>
      </c>
      <c r="C94" s="32">
        <v>0.6</v>
      </c>
      <c r="D94" s="32">
        <v>4.2999999999999997E-2</v>
      </c>
    </row>
    <row r="95" spans="1:4" s="168" customFormat="1" ht="16.5" customHeight="1" x14ac:dyDescent="0.2">
      <c r="A95" s="32">
        <v>3</v>
      </c>
      <c r="B95" s="32" t="s">
        <v>242</v>
      </c>
      <c r="C95" s="32">
        <v>0.4</v>
      </c>
      <c r="D95" s="32">
        <v>2.9000000000000001E-2</v>
      </c>
    </row>
    <row r="96" spans="1:4" s="168" customFormat="1" ht="16.5" customHeight="1" x14ac:dyDescent="0.2">
      <c r="A96" s="32">
        <v>4</v>
      </c>
      <c r="B96" s="32" t="s">
        <v>243</v>
      </c>
      <c r="C96" s="32">
        <v>0.25</v>
      </c>
      <c r="D96" s="32">
        <v>1.7999999999999999E-2</v>
      </c>
    </row>
    <row r="99" spans="1:17" s="168" customFormat="1" ht="16.5" customHeight="1" x14ac:dyDescent="0.2">
      <c r="A99" s="58" t="s">
        <v>244</v>
      </c>
      <c r="B99" s="59"/>
      <c r="C99" s="59"/>
      <c r="D99" s="59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7"/>
      <c r="Q99" s="164"/>
    </row>
    <row r="100" spans="1:17" s="168" customFormat="1" ht="16.5" customHeight="1" x14ac:dyDescent="0.2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7"/>
      <c r="Q100" s="164"/>
    </row>
    <row r="101" spans="1:17" s="168" customFormat="1" ht="16.5" customHeight="1" x14ac:dyDescent="0.2">
      <c r="A101" s="628" t="s">
        <v>245</v>
      </c>
      <c r="B101" s="628" t="s">
        <v>246</v>
      </c>
      <c r="C101" s="628"/>
      <c r="D101" s="61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7"/>
      <c r="Q101" s="164"/>
    </row>
    <row r="102" spans="1:17" s="168" customFormat="1" ht="16.5" customHeight="1" x14ac:dyDescent="0.2">
      <c r="A102" s="628"/>
      <c r="B102" s="32" t="s">
        <v>247</v>
      </c>
      <c r="C102" s="32" t="s">
        <v>248</v>
      </c>
      <c r="D102" s="59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7"/>
      <c r="Q102" s="164"/>
    </row>
    <row r="103" spans="1:17" s="168" customFormat="1" ht="16.5" customHeight="1" x14ac:dyDescent="0.2">
      <c r="A103" s="62" t="s">
        <v>249</v>
      </c>
      <c r="B103" s="32" t="s">
        <v>250</v>
      </c>
      <c r="C103" s="32" t="s">
        <v>251</v>
      </c>
      <c r="D103" s="59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7"/>
      <c r="Q103" s="164"/>
    </row>
    <row r="104" spans="1:17" s="168" customFormat="1" ht="16.5" customHeight="1" x14ac:dyDescent="0.2">
      <c r="A104" s="63" t="s">
        <v>252</v>
      </c>
      <c r="B104" s="32" t="s">
        <v>253</v>
      </c>
      <c r="C104" s="32" t="s">
        <v>250</v>
      </c>
      <c r="D104" s="59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7"/>
      <c r="Q104" s="164"/>
    </row>
    <row r="105" spans="1:17" s="168" customFormat="1" ht="16.5" customHeight="1" x14ac:dyDescent="0.2">
      <c r="A105" s="63" t="s">
        <v>254</v>
      </c>
      <c r="B105" s="32" t="s">
        <v>255</v>
      </c>
      <c r="C105" s="32" t="s">
        <v>253</v>
      </c>
      <c r="D105" s="338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7"/>
      <c r="Q105" s="164"/>
    </row>
    <row r="106" spans="1:17" s="168" customFormat="1" ht="16.5" customHeight="1" x14ac:dyDescent="0.2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7"/>
      <c r="Q106" s="164"/>
    </row>
    <row r="107" spans="1:17" s="168" customFormat="1" ht="16.5" customHeight="1" x14ac:dyDescent="0.2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7"/>
      <c r="Q107" s="164"/>
    </row>
    <row r="108" spans="1:17" s="168" customFormat="1" ht="16.5" customHeight="1" x14ac:dyDescent="0.2">
      <c r="A108" s="629" t="s">
        <v>256</v>
      </c>
      <c r="B108" s="629"/>
      <c r="C108" s="629"/>
      <c r="D108" s="339"/>
      <c r="E108" s="339"/>
      <c r="F108" s="339"/>
      <c r="G108" s="339"/>
      <c r="H108" s="339"/>
      <c r="I108" s="339"/>
      <c r="J108" s="164"/>
      <c r="K108" s="164"/>
      <c r="L108" s="164"/>
      <c r="M108" s="164"/>
      <c r="N108" s="340" t="s">
        <v>382</v>
      </c>
      <c r="O108" s="340" t="s">
        <v>383</v>
      </c>
      <c r="P108" s="341" t="s">
        <v>384</v>
      </c>
      <c r="Q108" s="340" t="s">
        <v>385</v>
      </c>
    </row>
    <row r="109" spans="1:17" s="168" customFormat="1" ht="16.5" customHeight="1" x14ac:dyDescent="0.2">
      <c r="A109" s="342" t="s">
        <v>146</v>
      </c>
      <c r="B109" s="343" t="s">
        <v>147</v>
      </c>
      <c r="C109" s="343" t="s">
        <v>148</v>
      </c>
      <c r="D109" s="296"/>
      <c r="E109" s="344"/>
      <c r="F109" s="344"/>
      <c r="G109" s="296"/>
      <c r="H109" s="344"/>
      <c r="I109" s="344"/>
      <c r="J109" s="164"/>
      <c r="K109" s="164"/>
      <c r="L109" s="164"/>
      <c r="M109" s="164"/>
      <c r="N109" s="345">
        <v>1.52E-2</v>
      </c>
      <c r="O109" s="345">
        <v>2.3699999999999999E-2</v>
      </c>
      <c r="P109" s="346">
        <v>0.15</v>
      </c>
      <c r="Q109" s="345">
        <v>7.3899999999999993E-2</v>
      </c>
    </row>
    <row r="110" spans="1:17" s="168" customFormat="1" ht="16.5" customHeight="1" x14ac:dyDescent="0.2">
      <c r="A110" s="64">
        <v>1E-4</v>
      </c>
      <c r="B110" s="64">
        <v>6.6E-3</v>
      </c>
      <c r="C110" s="65">
        <v>0.01</v>
      </c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347">
        <v>1.7399999999999999E-2</v>
      </c>
      <c r="O110" s="347">
        <v>2.69E-2</v>
      </c>
      <c r="P110" s="348">
        <v>0.16</v>
      </c>
      <c r="Q110" s="347">
        <v>8.1100000000000005E-2</v>
      </c>
    </row>
    <row r="111" spans="1:17" s="168" customFormat="1" ht="16.5" customHeight="1" x14ac:dyDescent="0.2">
      <c r="A111" s="64">
        <v>2.0000000000000001E-4</v>
      </c>
      <c r="B111" s="64">
        <v>1.32E-2</v>
      </c>
      <c r="C111" s="65">
        <v>0.02</v>
      </c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347">
        <v>1.9699999999999999E-2</v>
      </c>
      <c r="O111" s="347">
        <v>3.04E-2</v>
      </c>
      <c r="P111" s="348">
        <v>0.17</v>
      </c>
      <c r="Q111" s="347">
        <v>8.0500000000000002E-2</v>
      </c>
    </row>
    <row r="112" spans="1:17" s="168" customFormat="1" ht="16.5" customHeight="1" x14ac:dyDescent="0.2">
      <c r="A112" s="64">
        <v>5.0000000000000001E-4</v>
      </c>
      <c r="B112" s="64">
        <v>1.9699999999999999E-2</v>
      </c>
      <c r="C112" s="65">
        <v>0.03</v>
      </c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347">
        <v>2.2100000000000002E-2</v>
      </c>
      <c r="O112" s="347">
        <v>3.4000000000000002E-2</v>
      </c>
      <c r="P112" s="348">
        <v>0.18</v>
      </c>
      <c r="Q112" s="347">
        <v>9.6100000000000005E-2</v>
      </c>
    </row>
    <row r="113" spans="1:17" s="168" customFormat="1" ht="16.5" customHeight="1" x14ac:dyDescent="0.2">
      <c r="A113" s="64">
        <v>8.9999999999999998E-4</v>
      </c>
      <c r="B113" s="64">
        <v>2.6200000000000001E-2</v>
      </c>
      <c r="C113" s="65">
        <v>0.04</v>
      </c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347">
        <v>2.46E-2</v>
      </c>
      <c r="O113" s="347">
        <v>3.7699999999999997E-2</v>
      </c>
      <c r="P113" s="348">
        <v>0.19</v>
      </c>
      <c r="Q113" s="347">
        <v>0.10299999999999999</v>
      </c>
    </row>
    <row r="114" spans="1:17" s="168" customFormat="1" ht="16.5" customHeight="1" x14ac:dyDescent="0.2">
      <c r="A114" s="64">
        <v>1.5E-3</v>
      </c>
      <c r="B114" s="64">
        <v>3.2599999999999997E-2</v>
      </c>
      <c r="C114" s="65">
        <v>0.05</v>
      </c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347">
        <v>2.7300000000000001E-2</v>
      </c>
      <c r="O114" s="347">
        <v>4.1799999999999997E-2</v>
      </c>
      <c r="P114" s="348">
        <v>0.2</v>
      </c>
      <c r="Q114" s="347">
        <v>0.111</v>
      </c>
    </row>
    <row r="115" spans="1:17" s="168" customFormat="1" ht="16.5" customHeight="1" x14ac:dyDescent="0.2">
      <c r="A115" s="64">
        <v>2.2000000000000001E-3</v>
      </c>
      <c r="B115" s="64">
        <v>3.8899999999999997E-2</v>
      </c>
      <c r="C115" s="65">
        <v>0.06</v>
      </c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347">
        <v>3.0200000000000001E-2</v>
      </c>
      <c r="O115" s="347">
        <v>4.6100000000000002E-2</v>
      </c>
      <c r="P115" s="348">
        <v>0.21</v>
      </c>
      <c r="Q115" s="347">
        <v>0.11990000000000001</v>
      </c>
    </row>
    <row r="116" spans="1:17" s="168" customFormat="1" ht="16.5" customHeight="1" x14ac:dyDescent="0.2">
      <c r="A116" s="64">
        <v>3.0999999999999999E-3</v>
      </c>
      <c r="B116" s="64">
        <v>4.5100000000000001E-2</v>
      </c>
      <c r="C116" s="65">
        <v>7.0000000000000007E-2</v>
      </c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347">
        <v>3.3099999999999997E-2</v>
      </c>
      <c r="O116" s="347">
        <v>3.04E-2</v>
      </c>
      <c r="P116" s="348">
        <v>0.22</v>
      </c>
      <c r="Q116" s="347">
        <v>0.12609999999999999</v>
      </c>
    </row>
    <row r="117" spans="1:17" s="168" customFormat="1" ht="16.5" customHeight="1" x14ac:dyDescent="0.2">
      <c r="A117" s="64">
        <v>4.1000000000000003E-3</v>
      </c>
      <c r="B117" s="64">
        <v>5.1299999999999998E-2</v>
      </c>
      <c r="C117" s="65">
        <v>0.08</v>
      </c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347">
        <v>3.61E-2</v>
      </c>
      <c r="O117" s="347">
        <v>5.4899999999999997E-2</v>
      </c>
      <c r="P117" s="348">
        <v>0.23</v>
      </c>
      <c r="Q117" s="347">
        <v>0.1366</v>
      </c>
    </row>
    <row r="118" spans="1:17" s="168" customFormat="1" ht="16.5" customHeight="1" x14ac:dyDescent="0.2">
      <c r="A118" s="64">
        <v>5.1999999999999998E-3</v>
      </c>
      <c r="B118" s="64">
        <v>5.7500000000000002E-2</v>
      </c>
      <c r="C118" s="65">
        <v>0.09</v>
      </c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347">
        <v>3.9399999999999998E-2</v>
      </c>
      <c r="O118" s="347">
        <v>5.9700000000000003E-2</v>
      </c>
      <c r="P118" s="348">
        <v>0.24</v>
      </c>
      <c r="Q118" s="347">
        <v>0.1449</v>
      </c>
    </row>
    <row r="119" spans="1:17" s="168" customFormat="1" ht="16.5" customHeight="1" x14ac:dyDescent="0.2">
      <c r="A119" s="64">
        <v>6.4999999999999997E-3</v>
      </c>
      <c r="B119" s="64">
        <v>6.3500000000000001E-2</v>
      </c>
      <c r="C119" s="65">
        <v>0.1</v>
      </c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347">
        <v>4.2700000000000002E-2</v>
      </c>
      <c r="O119" s="347">
        <v>6.4600000000000005E-2</v>
      </c>
      <c r="P119" s="348">
        <v>0.25</v>
      </c>
      <c r="Q119" s="347">
        <v>0.1535</v>
      </c>
    </row>
    <row r="120" spans="1:17" s="168" customFormat="1" ht="16.5" customHeight="1" x14ac:dyDescent="0.2">
      <c r="A120" s="64">
        <v>8.0000000000000002E-3</v>
      </c>
      <c r="B120" s="64">
        <v>6.9500000000000006E-2</v>
      </c>
      <c r="C120" s="65">
        <v>0.11</v>
      </c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347">
        <v>4.3200000000000002E-2</v>
      </c>
      <c r="O120" s="347">
        <v>6.9800000000000001E-2</v>
      </c>
      <c r="P120" s="348">
        <v>0.26</v>
      </c>
      <c r="Q120" s="347">
        <v>0.1623</v>
      </c>
    </row>
    <row r="121" spans="1:17" s="168" customFormat="1" ht="16.5" customHeight="1" x14ac:dyDescent="0.2">
      <c r="A121" s="64">
        <v>9.4999999999999998E-3</v>
      </c>
      <c r="B121" s="64">
        <v>7.5499999999999998E-2</v>
      </c>
      <c r="C121" s="65">
        <v>0.12</v>
      </c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347">
        <v>4.9799999999999997E-2</v>
      </c>
      <c r="O121" s="347">
        <v>7.5200000000000003E-2</v>
      </c>
      <c r="P121" s="348">
        <v>0.27</v>
      </c>
      <c r="Q121" s="347">
        <v>0.1711</v>
      </c>
    </row>
    <row r="122" spans="1:17" s="168" customFormat="1" ht="16.5" customHeight="1" x14ac:dyDescent="0.2">
      <c r="A122" s="64">
        <v>1.1299999999999999E-2</v>
      </c>
      <c r="B122" s="64">
        <v>8.1299999999999997E-2</v>
      </c>
      <c r="C122" s="65">
        <v>0.13</v>
      </c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347">
        <v>5.3499999999999999E-2</v>
      </c>
      <c r="O122" s="347">
        <v>8.0500000000000002E-2</v>
      </c>
      <c r="P122" s="348">
        <v>0.28000000000000003</v>
      </c>
      <c r="Q122" s="347">
        <v>0.18</v>
      </c>
    </row>
    <row r="123" spans="1:17" s="168" customFormat="1" ht="16.5" customHeight="1" x14ac:dyDescent="0.2">
      <c r="A123" s="64">
        <v>1.3100000000000001E-2</v>
      </c>
      <c r="B123" s="64">
        <v>8.7099999999999997E-2</v>
      </c>
      <c r="C123" s="65">
        <v>0.14000000000000001</v>
      </c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347">
        <v>5.7299999999999997E-2</v>
      </c>
      <c r="O123" s="347">
        <v>8.6199999999999999E-2</v>
      </c>
      <c r="P123" s="348">
        <v>0.28999999999999998</v>
      </c>
      <c r="Q123" s="347">
        <v>0.189</v>
      </c>
    </row>
    <row r="124" spans="1:17" s="168" customFormat="1" ht="16.5" customHeight="1" x14ac:dyDescent="0.2">
      <c r="A124" s="64">
        <v>1.52E-2</v>
      </c>
      <c r="B124" s="64">
        <v>9.2899999999999996E-2</v>
      </c>
      <c r="C124" s="65">
        <v>0.15</v>
      </c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347">
        <v>6.13E-2</v>
      </c>
      <c r="O124" s="347">
        <v>9.2100000000000001E-2</v>
      </c>
      <c r="P124" s="348">
        <v>0.3</v>
      </c>
      <c r="Q124" s="347">
        <v>0.19819999999999999</v>
      </c>
    </row>
    <row r="125" spans="1:17" s="168" customFormat="1" ht="16.5" customHeight="1" x14ac:dyDescent="0.2">
      <c r="A125" s="64">
        <v>1.7299999999999999E-2</v>
      </c>
      <c r="B125" s="64">
        <v>9.8599999999999993E-2</v>
      </c>
      <c r="C125" s="65">
        <v>0.16</v>
      </c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347">
        <v>6.5299999999999997E-2</v>
      </c>
      <c r="O125" s="347">
        <v>9.8100000000000007E-2</v>
      </c>
      <c r="P125" s="348">
        <v>0.31</v>
      </c>
      <c r="Q125" s="347">
        <v>0.2074</v>
      </c>
    </row>
    <row r="126" spans="1:17" s="168" customFormat="1" ht="16.5" customHeight="1" x14ac:dyDescent="0.2">
      <c r="A126" s="64">
        <v>1.9599999999999999E-2</v>
      </c>
      <c r="B126" s="64">
        <v>0.1042</v>
      </c>
      <c r="C126" s="65">
        <v>0.17</v>
      </c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347">
        <v>6.9400000000000003E-2</v>
      </c>
      <c r="O126" s="347">
        <v>0.10440000000000001</v>
      </c>
      <c r="P126" s="348">
        <v>0.32</v>
      </c>
      <c r="Q126" s="347">
        <v>0.2167</v>
      </c>
    </row>
    <row r="127" spans="1:17" s="168" customFormat="1" ht="16.5" customHeight="1" x14ac:dyDescent="0.2">
      <c r="A127" s="64">
        <v>2.1999999999999999E-2</v>
      </c>
      <c r="B127" s="64">
        <v>0.10970000000000001</v>
      </c>
      <c r="C127" s="65">
        <v>0.18</v>
      </c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347">
        <v>7.3499999999999996E-2</v>
      </c>
      <c r="O127" s="347">
        <v>0.11070000000000001</v>
      </c>
      <c r="P127" s="348">
        <v>0.33</v>
      </c>
      <c r="Q127" s="347">
        <v>0.22600000000000001</v>
      </c>
    </row>
    <row r="128" spans="1:17" s="168" customFormat="1" ht="16.5" customHeight="1" x14ac:dyDescent="0.2">
      <c r="A128" s="64">
        <v>2.46E-2</v>
      </c>
      <c r="B128" s="64">
        <v>0.1152</v>
      </c>
      <c r="C128" s="65">
        <v>0.19</v>
      </c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347">
        <v>7.7700000000000005E-2</v>
      </c>
      <c r="O128" s="347">
        <v>0.1174</v>
      </c>
      <c r="P128" s="348">
        <v>0.34</v>
      </c>
      <c r="Q128" s="347">
        <v>0.23549999999999999</v>
      </c>
    </row>
    <row r="129" spans="1:17" s="168" customFormat="1" ht="16.5" customHeight="1" x14ac:dyDescent="0.2">
      <c r="A129" s="64">
        <v>2.7300000000000001E-2</v>
      </c>
      <c r="B129" s="64">
        <v>0.1206</v>
      </c>
      <c r="C129" s="65">
        <v>0.2</v>
      </c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347">
        <v>8.1799999999999998E-2</v>
      </c>
      <c r="O129" s="347">
        <v>0.1242</v>
      </c>
      <c r="P129" s="348">
        <v>0.35</v>
      </c>
      <c r="Q129" s="347">
        <v>0.245</v>
      </c>
    </row>
    <row r="130" spans="1:17" s="168" customFormat="1" ht="16.5" customHeight="1" x14ac:dyDescent="0.2">
      <c r="A130" s="64">
        <v>3.0099999999999998E-2</v>
      </c>
      <c r="B130" s="64">
        <v>0.12590000000000001</v>
      </c>
      <c r="C130" s="65">
        <v>0.21</v>
      </c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347">
        <v>8.6400000000000005E-2</v>
      </c>
      <c r="O130" s="347">
        <v>0.13120000000000001</v>
      </c>
      <c r="P130" s="348">
        <v>0.36</v>
      </c>
      <c r="Q130" s="347">
        <v>0.25459999999999999</v>
      </c>
    </row>
    <row r="131" spans="1:17" s="168" customFormat="1" ht="16.5" customHeight="1" x14ac:dyDescent="0.2">
      <c r="A131" s="64">
        <v>3.3099999999999997E-2</v>
      </c>
      <c r="B131" s="64">
        <v>0.13120000000000001</v>
      </c>
      <c r="C131" s="65">
        <v>0.22</v>
      </c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347">
        <v>9.0999999999999998E-2</v>
      </c>
      <c r="O131" s="347">
        <v>0.13830000000000001</v>
      </c>
      <c r="P131" s="348">
        <v>0.37</v>
      </c>
      <c r="Q131" s="347">
        <v>0.26419999999999999</v>
      </c>
    </row>
    <row r="132" spans="1:17" s="168" customFormat="1" ht="16.5" customHeight="1" x14ac:dyDescent="0.2">
      <c r="A132" s="64">
        <v>3.6200000000000003E-2</v>
      </c>
      <c r="B132" s="64">
        <v>0.13639999999999999</v>
      </c>
      <c r="C132" s="65">
        <v>0.23</v>
      </c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347">
        <v>9.5500000000000002E-2</v>
      </c>
      <c r="O132" s="347">
        <v>0.14549999999999999</v>
      </c>
      <c r="P132" s="348">
        <v>0.38</v>
      </c>
      <c r="Q132" s="347">
        <v>0.27389999999999998</v>
      </c>
    </row>
    <row r="133" spans="1:17" s="168" customFormat="1" ht="16.5" customHeight="1" x14ac:dyDescent="0.2">
      <c r="A133" s="64">
        <v>3.9399999999999998E-2</v>
      </c>
      <c r="B133" s="64">
        <v>0.1416</v>
      </c>
      <c r="C133" s="65">
        <v>0.24</v>
      </c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347">
        <v>0.1002</v>
      </c>
      <c r="O133" s="347">
        <v>0.153</v>
      </c>
      <c r="P133" s="348">
        <v>0.39</v>
      </c>
      <c r="Q133" s="347">
        <v>0.28360000000000002</v>
      </c>
    </row>
    <row r="134" spans="1:17" s="168" customFormat="1" ht="16.5" customHeight="1" x14ac:dyDescent="0.2">
      <c r="A134" s="64">
        <v>4.2700000000000002E-2</v>
      </c>
      <c r="B134" s="64">
        <v>0.14660000000000001</v>
      </c>
      <c r="C134" s="65">
        <v>0.25</v>
      </c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347">
        <v>0.105</v>
      </c>
      <c r="O134" s="347">
        <v>0.16039999999999999</v>
      </c>
      <c r="P134" s="348">
        <v>0.4</v>
      </c>
      <c r="Q134" s="347">
        <v>0.29339999999999999</v>
      </c>
    </row>
    <row r="135" spans="1:17" s="168" customFormat="1" ht="16.5" customHeight="1" x14ac:dyDescent="0.2">
      <c r="A135" s="64">
        <v>4.6100000000000002E-2</v>
      </c>
      <c r="B135" s="64">
        <v>0.15160000000000001</v>
      </c>
      <c r="C135" s="65">
        <v>0.26</v>
      </c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347">
        <v>0.20899999999999999</v>
      </c>
      <c r="O135" s="347">
        <v>0.16830000000000001</v>
      </c>
      <c r="P135" s="348">
        <v>0.41</v>
      </c>
      <c r="Q135" s="347">
        <v>0.30320000000000003</v>
      </c>
    </row>
    <row r="136" spans="1:17" s="168" customFormat="1" ht="16.5" customHeight="1" x14ac:dyDescent="0.2">
      <c r="A136" s="64">
        <v>4.9700000000000001E-2</v>
      </c>
      <c r="B136" s="64">
        <v>0.15659999999999999</v>
      </c>
      <c r="C136" s="65">
        <v>0.27</v>
      </c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347">
        <v>0.1148</v>
      </c>
      <c r="O136" s="347">
        <v>0.1762</v>
      </c>
      <c r="P136" s="348">
        <v>0.42</v>
      </c>
      <c r="Q136" s="347">
        <v>0.313</v>
      </c>
    </row>
    <row r="137" spans="1:17" s="168" customFormat="1" ht="16.5" customHeight="1" x14ac:dyDescent="0.2">
      <c r="A137" s="64">
        <v>5.3400000000000003E-2</v>
      </c>
      <c r="B137" s="64">
        <v>0.16139999999999999</v>
      </c>
      <c r="C137" s="65">
        <v>0.28000000000000003</v>
      </c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347">
        <v>0.1198</v>
      </c>
      <c r="O137" s="347">
        <v>0.18440000000000001</v>
      </c>
      <c r="P137" s="348">
        <v>0.43</v>
      </c>
      <c r="Q137" s="347">
        <v>0.32290000000000002</v>
      </c>
    </row>
    <row r="138" spans="1:17" s="168" customFormat="1" ht="16.5" customHeight="1" x14ac:dyDescent="0.2">
      <c r="A138" s="64">
        <v>5.7200000000000001E-2</v>
      </c>
      <c r="B138" s="64">
        <v>0.16619999999999999</v>
      </c>
      <c r="C138" s="65">
        <v>0.28999999999999998</v>
      </c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347">
        <v>0.12479999999999999</v>
      </c>
      <c r="O138" s="347">
        <v>0.19259999999999999</v>
      </c>
      <c r="P138" s="348">
        <v>0.44</v>
      </c>
      <c r="Q138" s="347">
        <v>0.33279999999999998</v>
      </c>
    </row>
    <row r="139" spans="1:17" s="168" customFormat="1" ht="16.5" customHeight="1" x14ac:dyDescent="0.2">
      <c r="A139" s="64">
        <v>6.0999999999999999E-2</v>
      </c>
      <c r="B139" s="64">
        <v>0.1709</v>
      </c>
      <c r="C139" s="65">
        <v>0.3</v>
      </c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347">
        <v>0.1298</v>
      </c>
      <c r="O139" s="347">
        <v>0.2014</v>
      </c>
      <c r="P139" s="348">
        <v>0.45</v>
      </c>
      <c r="Q139" s="347">
        <v>0.34200000000000003</v>
      </c>
    </row>
    <row r="140" spans="1:17" s="168" customFormat="1" ht="16.5" customHeight="1" x14ac:dyDescent="0.2">
      <c r="A140" s="64">
        <v>6.5000000000000002E-2</v>
      </c>
      <c r="B140" s="64">
        <v>0.17560000000000001</v>
      </c>
      <c r="C140" s="65">
        <v>0.31</v>
      </c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347">
        <v>0.13469999999999999</v>
      </c>
      <c r="O140" s="347">
        <v>0.20979999999999999</v>
      </c>
      <c r="P140" s="348">
        <v>0.46</v>
      </c>
      <c r="Q140" s="347">
        <v>0.35270000000000001</v>
      </c>
    </row>
    <row r="141" spans="1:17" s="168" customFormat="1" ht="16.5" customHeight="1" x14ac:dyDescent="0.2">
      <c r="A141" s="64">
        <v>6.9099999999999995E-2</v>
      </c>
      <c r="B141" s="64">
        <v>0.1802</v>
      </c>
      <c r="C141" s="65">
        <v>0.32</v>
      </c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347">
        <v>0.1401</v>
      </c>
      <c r="O141" s="347">
        <v>0.2185</v>
      </c>
      <c r="P141" s="348">
        <v>0.47</v>
      </c>
      <c r="Q141" s="347">
        <v>0.36270000000000002</v>
      </c>
    </row>
    <row r="142" spans="1:17" s="168" customFormat="1" ht="16.5" customHeight="1" x14ac:dyDescent="0.2">
      <c r="A142" s="64">
        <v>7.3300000000000004E-2</v>
      </c>
      <c r="B142" s="64">
        <v>0.1847</v>
      </c>
      <c r="C142" s="65">
        <v>0.33</v>
      </c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347">
        <v>0.14510000000000001</v>
      </c>
      <c r="O142" s="347">
        <v>0.2276</v>
      </c>
      <c r="P142" s="348">
        <v>0.48</v>
      </c>
      <c r="Q142" s="347">
        <v>0.37269999999999998</v>
      </c>
    </row>
    <row r="143" spans="1:17" s="168" customFormat="1" ht="16.5" customHeight="1" x14ac:dyDescent="0.2">
      <c r="A143" s="64">
        <v>7.7600000000000002E-2</v>
      </c>
      <c r="B143" s="64">
        <v>0.18909999999999999</v>
      </c>
      <c r="C143" s="65">
        <v>0.34</v>
      </c>
      <c r="D143" s="349"/>
      <c r="E143" s="349"/>
      <c r="F143" s="350"/>
      <c r="G143" s="349"/>
      <c r="H143" s="349"/>
      <c r="I143" s="350"/>
      <c r="J143" s="164"/>
      <c r="K143" s="164"/>
      <c r="L143" s="164"/>
      <c r="M143" s="164"/>
      <c r="N143" s="347">
        <v>0.15079999999999999</v>
      </c>
      <c r="O143" s="347">
        <v>0.23680000000000001</v>
      </c>
      <c r="P143" s="348">
        <v>0.49</v>
      </c>
      <c r="Q143" s="347">
        <v>0.38269999999999998</v>
      </c>
    </row>
    <row r="144" spans="1:17" s="168" customFormat="1" ht="16.5" customHeight="1" x14ac:dyDescent="0.2">
      <c r="A144" s="64">
        <v>8.2000000000000003E-2</v>
      </c>
      <c r="B144" s="64">
        <v>0.19350000000000001</v>
      </c>
      <c r="C144" s="65">
        <v>0.35</v>
      </c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347">
        <v>0.15590000000000001</v>
      </c>
      <c r="O144" s="347">
        <v>0.24640000000000001</v>
      </c>
      <c r="P144" s="348">
        <v>0.5</v>
      </c>
      <c r="Q144" s="347">
        <v>0.39300000000000002</v>
      </c>
    </row>
    <row r="145" spans="1:17" s="168" customFormat="1" ht="16.5" customHeight="1" x14ac:dyDescent="0.2">
      <c r="A145" s="64">
        <v>8.6400000000000005E-2</v>
      </c>
      <c r="B145" s="64">
        <v>0.1978</v>
      </c>
      <c r="C145" s="65">
        <v>0.36</v>
      </c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347">
        <v>0.16120000000000001</v>
      </c>
      <c r="O145" s="347">
        <v>0.255</v>
      </c>
      <c r="P145" s="348">
        <v>0.51</v>
      </c>
      <c r="Q145" s="347">
        <v>0.40300000000000002</v>
      </c>
    </row>
    <row r="146" spans="1:17" s="168" customFormat="1" ht="16.5" customHeight="1" x14ac:dyDescent="0.2">
      <c r="A146" s="64">
        <v>9.0999999999999998E-2</v>
      </c>
      <c r="B146" s="64">
        <v>0.20200000000000001</v>
      </c>
      <c r="C146" s="65">
        <v>0.37</v>
      </c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347">
        <v>0.1668</v>
      </c>
      <c r="O146" s="347">
        <v>0.2651</v>
      </c>
      <c r="P146" s="348">
        <v>0.52</v>
      </c>
      <c r="Q146" s="347">
        <v>0.41299999999999998</v>
      </c>
    </row>
    <row r="147" spans="1:17" s="168" customFormat="1" ht="16.5" customHeight="1" x14ac:dyDescent="0.2">
      <c r="A147" s="64">
        <v>9.5600000000000004E-2</v>
      </c>
      <c r="B147" s="64">
        <v>0.20619999999999999</v>
      </c>
      <c r="C147" s="65">
        <v>0.38</v>
      </c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347">
        <v>0.1719</v>
      </c>
      <c r="O147" s="347">
        <v>0.27510000000000001</v>
      </c>
      <c r="P147" s="348">
        <v>0.53</v>
      </c>
      <c r="Q147" s="347">
        <v>0.42299999999999999</v>
      </c>
    </row>
    <row r="148" spans="1:17" s="168" customFormat="1" ht="16.5" customHeight="1" x14ac:dyDescent="0.2">
      <c r="A148" s="64">
        <v>0.1003</v>
      </c>
      <c r="B148" s="64">
        <v>0.2102</v>
      </c>
      <c r="C148" s="65">
        <v>0.39</v>
      </c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347">
        <v>0.17730000000000001</v>
      </c>
      <c r="O148" s="347">
        <v>0.2853</v>
      </c>
      <c r="P148" s="348">
        <v>0.54</v>
      </c>
      <c r="Q148" s="347">
        <v>0.433</v>
      </c>
    </row>
    <row r="149" spans="1:17" s="168" customFormat="1" ht="16.5" customHeight="1" x14ac:dyDescent="0.2">
      <c r="A149" s="64">
        <v>0.105</v>
      </c>
      <c r="B149" s="64">
        <v>0.2142</v>
      </c>
      <c r="C149" s="65">
        <v>0.4</v>
      </c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347">
        <v>0.18279999999999999</v>
      </c>
      <c r="O149" s="347">
        <v>0.29559999999999997</v>
      </c>
      <c r="P149" s="348">
        <v>0.55000000000000004</v>
      </c>
      <c r="Q149" s="347">
        <v>0.443</v>
      </c>
    </row>
    <row r="150" spans="1:17" s="168" customFormat="1" ht="16.5" customHeight="1" x14ac:dyDescent="0.2">
      <c r="A150" s="64">
        <v>0.1099</v>
      </c>
      <c r="B150" s="64">
        <v>0.21820000000000001</v>
      </c>
      <c r="C150" s="65">
        <v>0.41</v>
      </c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347">
        <v>0.1883</v>
      </c>
      <c r="O150" s="347">
        <v>0.30690000000000001</v>
      </c>
      <c r="P150" s="348">
        <v>0.56000000000000005</v>
      </c>
      <c r="Q150" s="347">
        <v>0.45300000000000001</v>
      </c>
    </row>
    <row r="151" spans="1:17" s="168" customFormat="1" ht="16.5" customHeight="1" x14ac:dyDescent="0.2">
      <c r="A151" s="64">
        <v>0.1148</v>
      </c>
      <c r="B151" s="64">
        <v>0.222</v>
      </c>
      <c r="C151" s="65">
        <v>0.42</v>
      </c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347">
        <v>0.183</v>
      </c>
      <c r="O151" s="347">
        <v>0.31569999999999998</v>
      </c>
      <c r="P151" s="348">
        <v>0.56999999999999995</v>
      </c>
      <c r="Q151" s="347">
        <v>0.46200000000000002</v>
      </c>
    </row>
    <row r="152" spans="1:17" s="168" customFormat="1" ht="16.5" customHeight="1" x14ac:dyDescent="0.2">
      <c r="A152" s="64">
        <v>0.1197</v>
      </c>
      <c r="B152" s="64">
        <v>0.2258</v>
      </c>
      <c r="C152" s="65">
        <v>0.43</v>
      </c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347">
        <v>0.1988</v>
      </c>
      <c r="O152" s="347">
        <v>0.32629999999999998</v>
      </c>
      <c r="P152" s="348">
        <v>0.57999999999999996</v>
      </c>
      <c r="Q152" s="347">
        <v>0.47199999999999998</v>
      </c>
    </row>
    <row r="153" spans="1:17" s="168" customFormat="1" ht="16.5" customHeight="1" x14ac:dyDescent="0.2">
      <c r="A153" s="64">
        <v>0.12479999999999999</v>
      </c>
      <c r="B153" s="64">
        <v>0.22950000000000001</v>
      </c>
      <c r="C153" s="65">
        <v>0.44</v>
      </c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347">
        <v>0.20380000000000001</v>
      </c>
      <c r="O153" s="347">
        <v>0.33739999999999998</v>
      </c>
      <c r="P153" s="348">
        <v>0.59</v>
      </c>
      <c r="Q153" s="347">
        <v>0.48199999999999998</v>
      </c>
    </row>
    <row r="154" spans="1:17" s="168" customFormat="1" ht="16.5" customHeight="1" x14ac:dyDescent="0.2">
      <c r="A154" s="64">
        <v>0.1298</v>
      </c>
      <c r="B154" s="64">
        <v>0.2331</v>
      </c>
      <c r="C154" s="65">
        <v>0.45</v>
      </c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347">
        <v>0.20979999999999999</v>
      </c>
      <c r="O154" s="347">
        <v>0.34660000000000002</v>
      </c>
      <c r="P154" s="348">
        <v>0.6</v>
      </c>
      <c r="Q154" s="347">
        <v>0.49199999999999999</v>
      </c>
    </row>
    <row r="155" spans="1:17" s="168" customFormat="1" ht="16.5" customHeight="1" x14ac:dyDescent="0.2">
      <c r="A155" s="64">
        <v>0.13500000000000001</v>
      </c>
      <c r="B155" s="64">
        <v>0.2366</v>
      </c>
      <c r="C155" s="65">
        <v>0.46</v>
      </c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347">
        <v>0.21490000000000001</v>
      </c>
      <c r="O155" s="347">
        <v>0.3599</v>
      </c>
      <c r="P155" s="348">
        <v>0.61</v>
      </c>
      <c r="Q155" s="347">
        <v>0.502</v>
      </c>
    </row>
    <row r="156" spans="1:17" s="168" customFormat="1" ht="16.5" customHeight="1" x14ac:dyDescent="0.2">
      <c r="A156" s="64">
        <v>0.1401</v>
      </c>
      <c r="B156" s="64">
        <v>0.24010000000000001</v>
      </c>
      <c r="C156" s="65">
        <v>0.47</v>
      </c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347">
        <v>0.22020000000000001</v>
      </c>
      <c r="O156" s="347">
        <v>0.37169999999999997</v>
      </c>
      <c r="P156" s="348">
        <v>0.62</v>
      </c>
      <c r="Q156" s="347">
        <v>0.51200000000000001</v>
      </c>
    </row>
    <row r="157" spans="1:17" s="168" customFormat="1" ht="16.5" customHeight="1" x14ac:dyDescent="0.2">
      <c r="A157" s="64">
        <v>0.14530000000000001</v>
      </c>
      <c r="B157" s="64">
        <v>0.24349999999999999</v>
      </c>
      <c r="C157" s="65">
        <v>0.48</v>
      </c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347">
        <v>0.22509999999999999</v>
      </c>
      <c r="O157" s="347">
        <v>0.38279999999999997</v>
      </c>
      <c r="P157" s="348">
        <v>0.63</v>
      </c>
      <c r="Q157" s="347">
        <v>0.52200000000000002</v>
      </c>
    </row>
    <row r="158" spans="1:17" s="168" customFormat="1" ht="16.5" customHeight="1" x14ac:dyDescent="0.2">
      <c r="A158" s="64">
        <v>0.15060000000000001</v>
      </c>
      <c r="B158" s="64">
        <v>0.24679999999999999</v>
      </c>
      <c r="C158" s="65">
        <v>0.49</v>
      </c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347">
        <v>0.23050000000000001</v>
      </c>
      <c r="O158" s="347">
        <v>0.39489999999999997</v>
      </c>
      <c r="P158" s="348">
        <v>0.64</v>
      </c>
      <c r="Q158" s="351" t="s">
        <v>386</v>
      </c>
    </row>
    <row r="159" spans="1:17" s="168" customFormat="1" ht="16.5" customHeight="1" x14ac:dyDescent="0.2">
      <c r="A159" s="64">
        <v>0.15579999999999999</v>
      </c>
      <c r="B159" s="64">
        <v>0.25</v>
      </c>
      <c r="C159" s="65">
        <v>0.5</v>
      </c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347">
        <v>0.2354</v>
      </c>
      <c r="O159" s="347">
        <v>0.40620000000000001</v>
      </c>
      <c r="P159" s="348">
        <v>0.65</v>
      </c>
      <c r="Q159" s="347">
        <v>0.54</v>
      </c>
    </row>
    <row r="160" spans="1:17" s="168" customFormat="1" ht="16.5" customHeight="1" x14ac:dyDescent="0.2">
      <c r="A160" s="64">
        <v>0.16120000000000001</v>
      </c>
      <c r="B160" s="64">
        <v>0.25309999999999999</v>
      </c>
      <c r="C160" s="65">
        <v>0.51</v>
      </c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347">
        <v>0.24099999999999999</v>
      </c>
      <c r="O160" s="347">
        <v>0.41620000000000001</v>
      </c>
      <c r="P160" s="348">
        <v>0.66</v>
      </c>
      <c r="Q160" s="347">
        <v>0.55000000000000004</v>
      </c>
    </row>
    <row r="161" spans="1:17" s="168" customFormat="1" ht="16.5" customHeight="1" x14ac:dyDescent="0.2">
      <c r="A161" s="64">
        <v>0.16650000000000001</v>
      </c>
      <c r="B161" s="64">
        <v>0.25619999999999998</v>
      </c>
      <c r="C161" s="65">
        <v>0.52</v>
      </c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347">
        <v>0.24610000000000001</v>
      </c>
      <c r="O161" s="347">
        <v>0.43120000000000003</v>
      </c>
      <c r="P161" s="348">
        <v>0.67</v>
      </c>
      <c r="Q161" s="347">
        <v>0.55900000000000005</v>
      </c>
    </row>
    <row r="162" spans="1:17" s="168" customFormat="1" ht="16.5" customHeight="1" x14ac:dyDescent="0.2">
      <c r="A162" s="64">
        <v>0.17180000000000001</v>
      </c>
      <c r="B162" s="64">
        <v>0.25919999999999999</v>
      </c>
      <c r="C162" s="65">
        <v>0.53</v>
      </c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352">
        <v>0.251</v>
      </c>
      <c r="O162" s="352">
        <v>0.44440000000000002</v>
      </c>
      <c r="P162" s="353">
        <v>0.68</v>
      </c>
      <c r="Q162" s="352">
        <v>0.56899999999999995</v>
      </c>
    </row>
    <row r="163" spans="1:17" s="168" customFormat="1" ht="16.5" customHeight="1" x14ac:dyDescent="0.2">
      <c r="A163" s="64">
        <v>0.1772</v>
      </c>
      <c r="B163" s="64">
        <v>0.2621</v>
      </c>
      <c r="C163" s="65">
        <v>0.54</v>
      </c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345">
        <v>0.25609999999999999</v>
      </c>
      <c r="O163" s="345">
        <v>0.45700000000000002</v>
      </c>
      <c r="P163" s="346">
        <v>0.69</v>
      </c>
      <c r="Q163" s="345">
        <v>0.57799999999999996</v>
      </c>
    </row>
    <row r="164" spans="1:17" s="168" customFormat="1" ht="16.5" customHeight="1" x14ac:dyDescent="0.2">
      <c r="A164" s="64">
        <v>0.18260000000000001</v>
      </c>
      <c r="B164" s="64">
        <v>0.26490000000000002</v>
      </c>
      <c r="C164" s="65">
        <v>0.55000000000000004</v>
      </c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347">
        <v>0.26069999999999999</v>
      </c>
      <c r="O164" s="347">
        <v>0.47</v>
      </c>
      <c r="P164" s="348">
        <v>0.7</v>
      </c>
      <c r="Q164" s="347">
        <v>0.58699999999999997</v>
      </c>
    </row>
    <row r="165" spans="1:17" s="168" customFormat="1" ht="16.5" customHeight="1" x14ac:dyDescent="0.2">
      <c r="A165" s="64">
        <v>0.18790000000000001</v>
      </c>
      <c r="B165" s="64">
        <v>0.2676</v>
      </c>
      <c r="C165" s="65">
        <v>0.56000000000000005</v>
      </c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347">
        <v>0.26590000000000003</v>
      </c>
      <c r="O165" s="347">
        <v>0.48309999999999997</v>
      </c>
      <c r="P165" s="348">
        <v>0.71</v>
      </c>
      <c r="Q165" s="347">
        <v>0.69599999999999995</v>
      </c>
    </row>
    <row r="166" spans="1:17" s="168" customFormat="1" ht="16.5" customHeight="1" x14ac:dyDescent="0.2">
      <c r="A166" s="64">
        <v>0.1933</v>
      </c>
      <c r="B166" s="64">
        <v>0.27029999999999998</v>
      </c>
      <c r="C166" s="65">
        <v>0.56999999999999995</v>
      </c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347">
        <v>0.27050000000000002</v>
      </c>
      <c r="O166" s="347">
        <v>0.49869999999999998</v>
      </c>
      <c r="P166" s="348">
        <v>0.72</v>
      </c>
      <c r="Q166" s="347">
        <v>0.60499999999999998</v>
      </c>
    </row>
    <row r="167" spans="1:17" s="168" customFormat="1" ht="16.5" customHeight="1" x14ac:dyDescent="0.2">
      <c r="A167" s="64">
        <v>0.19869999999999999</v>
      </c>
      <c r="B167" s="64">
        <v>0.27279999999999999</v>
      </c>
      <c r="C167" s="65">
        <v>0.57999999999999996</v>
      </c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347">
        <v>0.27510000000000001</v>
      </c>
      <c r="O167" s="347">
        <v>0.51080000000000003</v>
      </c>
      <c r="P167" s="348">
        <v>0.73</v>
      </c>
      <c r="Q167" s="347">
        <v>0.61399999999999999</v>
      </c>
    </row>
    <row r="168" spans="1:17" s="168" customFormat="1" ht="16.5" customHeight="1" x14ac:dyDescent="0.2">
      <c r="A168" s="64">
        <v>0.2041</v>
      </c>
      <c r="B168" s="64">
        <v>0.27529999999999999</v>
      </c>
      <c r="C168" s="65">
        <v>0.59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347">
        <v>0.27979999999999999</v>
      </c>
      <c r="O168" s="347">
        <v>0.52400000000000002</v>
      </c>
      <c r="P168" s="348">
        <v>0.74</v>
      </c>
      <c r="Q168" s="347">
        <v>0.623</v>
      </c>
    </row>
    <row r="169" spans="1:17" s="168" customFormat="1" ht="16.5" customHeight="1" x14ac:dyDescent="0.2">
      <c r="A169" s="64">
        <v>0.2094</v>
      </c>
      <c r="B169" s="64">
        <v>0.27760000000000001</v>
      </c>
      <c r="C169" s="65">
        <v>0.6</v>
      </c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347">
        <v>0.28449999999999998</v>
      </c>
      <c r="O169" s="347">
        <v>0.54</v>
      </c>
      <c r="P169" s="348">
        <v>0.75</v>
      </c>
      <c r="Q169" s="347">
        <v>0.63200000000000001</v>
      </c>
    </row>
    <row r="170" spans="1:17" s="168" customFormat="1" ht="16.5" customHeight="1" x14ac:dyDescent="0.2">
      <c r="A170" s="64">
        <v>0.2147</v>
      </c>
      <c r="B170" s="64">
        <v>0.27989999999999998</v>
      </c>
      <c r="C170" s="65">
        <v>0.61</v>
      </c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347">
        <v>0.28810000000000002</v>
      </c>
      <c r="O170" s="347">
        <v>0.55430000000000001</v>
      </c>
      <c r="P170" s="348">
        <v>0.76</v>
      </c>
      <c r="Q170" s="347">
        <v>0.64</v>
      </c>
    </row>
    <row r="171" spans="1:17" s="168" customFormat="1" ht="16.5" customHeight="1" x14ac:dyDescent="0.2">
      <c r="A171" s="64">
        <v>0.22</v>
      </c>
      <c r="B171" s="64">
        <v>0.28210000000000002</v>
      </c>
      <c r="C171" s="65">
        <v>0.62</v>
      </c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347">
        <v>0.2928</v>
      </c>
      <c r="O171" s="347">
        <v>0.55989999999999995</v>
      </c>
      <c r="P171" s="348">
        <v>0.77</v>
      </c>
      <c r="Q171" s="347">
        <v>0.64900000000000002</v>
      </c>
    </row>
    <row r="172" spans="1:17" s="168" customFormat="1" ht="16.5" customHeight="1" x14ac:dyDescent="0.2">
      <c r="A172" s="64">
        <v>0.2253</v>
      </c>
      <c r="B172" s="64">
        <v>0.28420000000000001</v>
      </c>
      <c r="C172" s="65">
        <v>0.63</v>
      </c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347">
        <v>0.29699999999999999</v>
      </c>
      <c r="O172" s="347">
        <v>0.60509999999999997</v>
      </c>
      <c r="P172" s="348">
        <v>0.78</v>
      </c>
      <c r="Q172" s="347">
        <v>0.65700000000000003</v>
      </c>
    </row>
    <row r="173" spans="1:17" s="168" customFormat="1" ht="16.5" customHeight="1" x14ac:dyDescent="0.2">
      <c r="A173" s="64">
        <v>0.2306</v>
      </c>
      <c r="B173" s="64">
        <v>0.28620000000000001</v>
      </c>
      <c r="C173" s="65">
        <v>0.64</v>
      </c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347">
        <v>0.30109999999999998</v>
      </c>
      <c r="O173" s="347">
        <v>0.60199999999999998</v>
      </c>
      <c r="P173" s="348">
        <v>0.79</v>
      </c>
      <c r="Q173" s="347">
        <v>0.66600000000000004</v>
      </c>
    </row>
    <row r="174" spans="1:17" s="168" customFormat="1" ht="16.5" customHeight="1" x14ac:dyDescent="0.2">
      <c r="A174" s="64">
        <v>0.23880000000000001</v>
      </c>
      <c r="B174" s="64">
        <v>0.28820000000000001</v>
      </c>
      <c r="C174" s="65">
        <v>0.65</v>
      </c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347">
        <v>0.30470000000000003</v>
      </c>
      <c r="O174" s="347">
        <v>0.61850000000000005</v>
      </c>
      <c r="P174" s="348">
        <v>0.8</v>
      </c>
      <c r="Q174" s="347">
        <v>0.67400000000000004</v>
      </c>
    </row>
    <row r="175" spans="1:17" s="168" customFormat="1" ht="16.5" customHeight="1" x14ac:dyDescent="0.2">
      <c r="A175" s="64">
        <v>0.2409</v>
      </c>
      <c r="B175" s="64">
        <v>0.28989999999999999</v>
      </c>
      <c r="C175" s="65">
        <v>0.66</v>
      </c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347">
        <v>0.30790000000000001</v>
      </c>
      <c r="O175" s="347">
        <v>0.63480000000000003</v>
      </c>
      <c r="P175" s="348">
        <v>0.81</v>
      </c>
      <c r="Q175" s="347">
        <v>0.68100000000000005</v>
      </c>
    </row>
    <row r="176" spans="1:17" s="168" customFormat="1" ht="16.5" customHeight="1" x14ac:dyDescent="0.2">
      <c r="A176" s="64">
        <v>0.246</v>
      </c>
      <c r="B176" s="64">
        <v>0.29170000000000001</v>
      </c>
      <c r="C176" s="65">
        <v>0.67</v>
      </c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347">
        <v>0.3115</v>
      </c>
      <c r="O176" s="347">
        <v>0.65259999999999996</v>
      </c>
      <c r="P176" s="348">
        <v>0.82</v>
      </c>
      <c r="Q176" s="347">
        <v>0.68899999999999995</v>
      </c>
    </row>
    <row r="177" spans="1:17" s="168" customFormat="1" ht="16.5" customHeight="1" x14ac:dyDescent="0.2">
      <c r="A177" s="64">
        <v>0.25109999999999999</v>
      </c>
      <c r="B177" s="64">
        <v>0.29330000000000001</v>
      </c>
      <c r="C177" s="65">
        <v>0.68</v>
      </c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347">
        <v>0.31509999999999999</v>
      </c>
      <c r="O177" s="347">
        <v>0.6714</v>
      </c>
      <c r="P177" s="348">
        <v>0.83</v>
      </c>
      <c r="Q177" s="347">
        <v>0.69699999999999995</v>
      </c>
    </row>
    <row r="178" spans="1:17" s="168" customFormat="1" ht="16.5" customHeight="1" x14ac:dyDescent="0.2">
      <c r="A178" s="64">
        <v>0.25600000000000001</v>
      </c>
      <c r="B178" s="64">
        <v>0.29480000000000001</v>
      </c>
      <c r="C178" s="65">
        <v>0.69</v>
      </c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347">
        <v>0.31830000000000003</v>
      </c>
      <c r="O178" s="347">
        <v>0.68979999999999997</v>
      </c>
      <c r="P178" s="348">
        <v>0.84</v>
      </c>
      <c r="Q178" s="347">
        <v>0.70399999999999996</v>
      </c>
    </row>
    <row r="179" spans="1:17" s="168" customFormat="1" ht="16.5" customHeight="1" x14ac:dyDescent="0.2">
      <c r="A179" s="64">
        <v>0.26100000000000001</v>
      </c>
      <c r="B179" s="64">
        <v>0.29620000000000002</v>
      </c>
      <c r="C179" s="65">
        <v>0.7</v>
      </c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347">
        <v>0.32119999999999999</v>
      </c>
      <c r="O179" s="347">
        <v>0.71060000000000001</v>
      </c>
      <c r="P179" s="348">
        <v>0.85</v>
      </c>
      <c r="Q179" s="347">
        <v>0.71199999999999997</v>
      </c>
    </row>
    <row r="180" spans="1:17" s="168" customFormat="1" ht="16.5" customHeight="1" x14ac:dyDescent="0.2">
      <c r="A180" s="64">
        <v>0.26579999999999998</v>
      </c>
      <c r="B180" s="64">
        <v>0.29749999999999999</v>
      </c>
      <c r="C180" s="65">
        <v>0.71</v>
      </c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347">
        <v>0.32429999999999998</v>
      </c>
      <c r="O180" s="347">
        <v>0.72699999999999998</v>
      </c>
      <c r="P180" s="348">
        <v>0.86</v>
      </c>
      <c r="Q180" s="347">
        <v>0.71899999999999997</v>
      </c>
    </row>
    <row r="181" spans="1:17" s="168" customFormat="1" ht="16.5" customHeight="1" x14ac:dyDescent="0.2">
      <c r="A181" s="64">
        <v>0.27050000000000002</v>
      </c>
      <c r="B181" s="64">
        <v>0.29880000000000001</v>
      </c>
      <c r="C181" s="65">
        <v>0.72</v>
      </c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347">
        <v>0.32629999999999998</v>
      </c>
      <c r="O181" s="347">
        <v>0.75270000000000004</v>
      </c>
      <c r="P181" s="348">
        <v>0.87</v>
      </c>
      <c r="Q181" s="347">
        <v>0.72499999999999998</v>
      </c>
    </row>
    <row r="182" spans="1:17" s="168" customFormat="1" ht="16.5" customHeight="1" x14ac:dyDescent="0.2">
      <c r="A182" s="64">
        <v>0.2752</v>
      </c>
      <c r="B182" s="64">
        <v>0.29980000000000001</v>
      </c>
      <c r="C182" s="65">
        <v>0.73</v>
      </c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347">
        <v>0.32669999999999999</v>
      </c>
      <c r="O182" s="347">
        <v>0.77669999999999995</v>
      </c>
      <c r="P182" s="348">
        <v>0.88</v>
      </c>
      <c r="Q182" s="347">
        <v>0.73199999999999998</v>
      </c>
    </row>
    <row r="183" spans="1:17" s="168" customFormat="1" ht="16.5" customHeight="1" x14ac:dyDescent="0.2">
      <c r="A183" s="64">
        <v>0.27979999999999999</v>
      </c>
      <c r="B183" s="64">
        <v>0.30080000000000001</v>
      </c>
      <c r="C183" s="65">
        <v>0.74</v>
      </c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352">
        <v>0.33</v>
      </c>
      <c r="O183" s="352">
        <v>0.80169999999999997</v>
      </c>
      <c r="P183" s="353">
        <v>0.89</v>
      </c>
      <c r="Q183" s="352">
        <v>0.73799999999999999</v>
      </c>
    </row>
    <row r="184" spans="1:17" s="168" customFormat="1" ht="16.5" customHeight="1" x14ac:dyDescent="0.2">
      <c r="A184" s="64">
        <v>0.28420000000000001</v>
      </c>
      <c r="B184" s="64">
        <v>0.30170000000000002</v>
      </c>
      <c r="C184" s="65">
        <v>0.75</v>
      </c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7"/>
      <c r="Q184" s="164"/>
    </row>
    <row r="185" spans="1:17" s="168" customFormat="1" ht="16.5" customHeight="1" x14ac:dyDescent="0.2">
      <c r="A185" s="64">
        <v>0.28860000000000002</v>
      </c>
      <c r="B185" s="64">
        <v>0.3024</v>
      </c>
      <c r="C185" s="65">
        <v>0.76</v>
      </c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7"/>
      <c r="Q185" s="164"/>
    </row>
    <row r="186" spans="1:17" s="168" customFormat="1" ht="16.5" customHeight="1" x14ac:dyDescent="0.2">
      <c r="A186" s="64">
        <v>0.2928</v>
      </c>
      <c r="B186" s="64">
        <v>0.30309999999999998</v>
      </c>
      <c r="C186" s="65">
        <v>0.77</v>
      </c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7"/>
      <c r="Q186" s="164"/>
    </row>
    <row r="187" spans="1:17" s="168" customFormat="1" ht="16.5" customHeight="1" x14ac:dyDescent="0.2">
      <c r="A187" s="64">
        <v>0.2969</v>
      </c>
      <c r="B187" s="64">
        <v>0.30359999999999998</v>
      </c>
      <c r="C187" s="65">
        <v>0.78</v>
      </c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7"/>
      <c r="Q187" s="164"/>
    </row>
    <row r="188" spans="1:17" s="168" customFormat="1" ht="16.5" customHeight="1" x14ac:dyDescent="0.2">
      <c r="A188" s="64">
        <v>0.3009</v>
      </c>
      <c r="B188" s="64">
        <v>0.30399999999999999</v>
      </c>
      <c r="C188" s="65">
        <v>0.79</v>
      </c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7"/>
      <c r="Q188" s="164"/>
    </row>
    <row r="189" spans="1:17" s="168" customFormat="1" ht="16.5" customHeight="1" x14ac:dyDescent="0.2">
      <c r="A189" s="64">
        <v>0.30470000000000003</v>
      </c>
      <c r="B189" s="64">
        <v>0.30420000000000003</v>
      </c>
      <c r="C189" s="65">
        <v>0.8</v>
      </c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7"/>
      <c r="Q189" s="164"/>
    </row>
    <row r="190" spans="1:17" s="168" customFormat="1" ht="16.5" customHeight="1" x14ac:dyDescent="0.2">
      <c r="A190" s="64">
        <v>0.30830000000000002</v>
      </c>
      <c r="B190" s="64">
        <v>0.30430000000000001</v>
      </c>
      <c r="C190" s="65">
        <v>0.81</v>
      </c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7"/>
      <c r="Q190" s="164"/>
    </row>
    <row r="191" spans="1:17" s="168" customFormat="1" ht="16.5" customHeight="1" x14ac:dyDescent="0.2">
      <c r="A191" s="64">
        <v>0.31180000000000002</v>
      </c>
      <c r="B191" s="64">
        <v>0.30430000000000001</v>
      </c>
      <c r="C191" s="65">
        <v>0.82</v>
      </c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7"/>
      <c r="Q191" s="164"/>
    </row>
    <row r="192" spans="1:17" s="168" customFormat="1" ht="16.5" customHeight="1" x14ac:dyDescent="0.2">
      <c r="A192" s="64">
        <v>0.31509999999999999</v>
      </c>
      <c r="B192" s="64">
        <v>0.30409999999999998</v>
      </c>
      <c r="C192" s="65">
        <v>0.83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7"/>
      <c r="Q192" s="164"/>
    </row>
    <row r="193" spans="1:3" s="168" customFormat="1" ht="16.5" customHeight="1" x14ac:dyDescent="0.2">
      <c r="A193" s="64">
        <v>0.31830000000000003</v>
      </c>
      <c r="B193" s="64">
        <v>0.30380000000000001</v>
      </c>
      <c r="C193" s="65">
        <v>0.84</v>
      </c>
    </row>
    <row r="194" spans="1:3" s="168" customFormat="1" ht="16.5" customHeight="1" x14ac:dyDescent="0.2">
      <c r="A194" s="64">
        <v>0.32119999999999999</v>
      </c>
      <c r="B194" s="64">
        <v>0.30330000000000001</v>
      </c>
      <c r="C194" s="65">
        <v>0.85</v>
      </c>
    </row>
    <row r="195" spans="1:3" s="168" customFormat="1" ht="16.5" customHeight="1" x14ac:dyDescent="0.2">
      <c r="A195" s="64">
        <v>0.32390000000000002</v>
      </c>
      <c r="B195" s="64">
        <v>0.30259999999999998</v>
      </c>
      <c r="C195" s="65">
        <v>0.86</v>
      </c>
    </row>
    <row r="196" spans="1:3" s="168" customFormat="1" ht="16.5" customHeight="1" x14ac:dyDescent="0.2">
      <c r="A196" s="64">
        <v>0.32640000000000002</v>
      </c>
      <c r="B196" s="64">
        <v>0.30180000000000001</v>
      </c>
      <c r="C196" s="65">
        <v>0.87</v>
      </c>
    </row>
    <row r="197" spans="1:3" s="168" customFormat="1" ht="16.5" customHeight="1" x14ac:dyDescent="0.2">
      <c r="A197" s="64">
        <v>0.3286</v>
      </c>
      <c r="B197" s="64">
        <v>0.30070000000000002</v>
      </c>
      <c r="C197" s="65">
        <v>0.88</v>
      </c>
    </row>
    <row r="198" spans="1:3" s="168" customFormat="1" ht="16.5" customHeight="1" x14ac:dyDescent="0.2">
      <c r="A198" s="64">
        <v>0.33050000000000002</v>
      </c>
      <c r="B198" s="64">
        <v>0.29949999999999999</v>
      </c>
      <c r="C198" s="65">
        <v>0.89</v>
      </c>
    </row>
    <row r="199" spans="1:3" s="168" customFormat="1" ht="16.5" customHeight="1" x14ac:dyDescent="0.2">
      <c r="A199" s="64">
        <v>0.3322</v>
      </c>
      <c r="B199" s="64">
        <v>0.29799999999999999</v>
      </c>
      <c r="C199" s="65">
        <v>0.9</v>
      </c>
    </row>
    <row r="200" spans="1:3" s="168" customFormat="1" ht="16.5" customHeight="1" x14ac:dyDescent="0.2">
      <c r="A200" s="64">
        <v>0.33350000000000002</v>
      </c>
      <c r="B200" s="64">
        <v>0.29630000000000001</v>
      </c>
      <c r="C200" s="65">
        <v>0.91</v>
      </c>
    </row>
    <row r="201" spans="1:3" s="168" customFormat="1" ht="16.5" customHeight="1" x14ac:dyDescent="0.2">
      <c r="A201" s="64">
        <v>0.33450000000000002</v>
      </c>
      <c r="B201" s="64">
        <v>0.2944</v>
      </c>
      <c r="C201" s="65">
        <v>0.92</v>
      </c>
    </row>
    <row r="202" spans="1:3" s="168" customFormat="1" ht="16.5" customHeight="1" x14ac:dyDescent="0.2">
      <c r="A202" s="64">
        <v>0.33510000000000001</v>
      </c>
      <c r="B202" s="64">
        <v>0.29210000000000003</v>
      </c>
      <c r="C202" s="65">
        <v>0.93</v>
      </c>
    </row>
    <row r="203" spans="1:3" s="168" customFormat="1" ht="16.5" customHeight="1" x14ac:dyDescent="0.2">
      <c r="A203" s="64">
        <v>0.33529999999999999</v>
      </c>
      <c r="B203" s="64">
        <v>0.28949999999999998</v>
      </c>
      <c r="C203" s="65">
        <v>0.94</v>
      </c>
    </row>
    <row r="204" spans="1:3" s="168" customFormat="1" ht="16.5" customHeight="1" x14ac:dyDescent="0.2">
      <c r="A204" s="64">
        <v>0.33489999999999998</v>
      </c>
      <c r="B204" s="64">
        <v>0.28649999999999998</v>
      </c>
      <c r="C204" s="65">
        <v>0.95</v>
      </c>
    </row>
    <row r="205" spans="1:3" s="168" customFormat="1" ht="16.5" customHeight="1" x14ac:dyDescent="0.2">
      <c r="A205" s="64">
        <v>0.33389999999999997</v>
      </c>
      <c r="B205" s="64">
        <v>0.28289999999999998</v>
      </c>
      <c r="C205" s="65">
        <v>0.96</v>
      </c>
    </row>
    <row r="206" spans="1:3" s="168" customFormat="1" ht="16.5" customHeight="1" x14ac:dyDescent="0.2">
      <c r="A206" s="64">
        <v>0.32219999999999999</v>
      </c>
      <c r="B206" s="64">
        <v>0.2787</v>
      </c>
      <c r="C206" s="65">
        <v>0.97</v>
      </c>
    </row>
    <row r="207" spans="1:3" s="168" customFormat="1" ht="16.5" customHeight="1" x14ac:dyDescent="0.2">
      <c r="A207" s="64">
        <v>0.32940000000000003</v>
      </c>
      <c r="B207" s="64">
        <v>0.27350000000000002</v>
      </c>
      <c r="C207" s="65">
        <v>0.98</v>
      </c>
    </row>
    <row r="208" spans="1:3" s="168" customFormat="1" ht="16.5" customHeight="1" x14ac:dyDescent="0.2">
      <c r="A208" s="64">
        <v>0.32479999999999998</v>
      </c>
      <c r="B208" s="64">
        <v>0.2666</v>
      </c>
      <c r="C208" s="65">
        <v>0.99</v>
      </c>
    </row>
    <row r="209" spans="1:3" s="168" customFormat="1" ht="16.5" customHeight="1" x14ac:dyDescent="0.2">
      <c r="A209" s="64">
        <v>0.31169999999999998</v>
      </c>
      <c r="B209" s="64">
        <v>0.25</v>
      </c>
      <c r="C209" s="65">
        <v>1</v>
      </c>
    </row>
  </sheetData>
  <mergeCells count="85">
    <mergeCell ref="AV10:DH10"/>
    <mergeCell ref="B11:B12"/>
    <mergeCell ref="C11:C12"/>
    <mergeCell ref="D11:E11"/>
    <mergeCell ref="F11:F12"/>
    <mergeCell ref="Q11:Q12"/>
    <mergeCell ref="AD11:AD12"/>
    <mergeCell ref="S11:S12"/>
    <mergeCell ref="T11:T12"/>
    <mergeCell ref="U11:U12"/>
    <mergeCell ref="V11:V12"/>
    <mergeCell ref="W11:W12"/>
    <mergeCell ref="X11:X12"/>
    <mergeCell ref="Y11:Y12"/>
    <mergeCell ref="Z11:Z12"/>
    <mergeCell ref="AA11:AA12"/>
    <mergeCell ref="B4:E4"/>
    <mergeCell ref="B5:E5"/>
    <mergeCell ref="G5:I5"/>
    <mergeCell ref="B10:AT10"/>
    <mergeCell ref="R11:R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AB11:AB12"/>
    <mergeCell ref="AC11:AC12"/>
    <mergeCell ref="AU11:AU12"/>
    <mergeCell ref="AE11:AE12"/>
    <mergeCell ref="AF11:AF12"/>
    <mergeCell ref="AG11:AG12"/>
    <mergeCell ref="AH11:AH12"/>
    <mergeCell ref="AI11:AI12"/>
    <mergeCell ref="AJ11:AJ12"/>
    <mergeCell ref="AK11:AL11"/>
    <mergeCell ref="AM11:AN11"/>
    <mergeCell ref="AO11:AP11"/>
    <mergeCell ref="AQ11:AR11"/>
    <mergeCell ref="AS11:AT11"/>
    <mergeCell ref="A14:A24"/>
    <mergeCell ref="AV38:AW38"/>
    <mergeCell ref="CI11:CJ11"/>
    <mergeCell ref="CK11:CO11"/>
    <mergeCell ref="CP11:DA11"/>
    <mergeCell ref="BG11:BG12"/>
    <mergeCell ref="BH11:BI11"/>
    <mergeCell ref="BJ11:BK11"/>
    <mergeCell ref="BL11:BW11"/>
    <mergeCell ref="BX11:CB11"/>
    <mergeCell ref="CC11:CH11"/>
    <mergeCell ref="AV11:AV12"/>
    <mergeCell ref="AW11:AW12"/>
    <mergeCell ref="AY11:BB11"/>
    <mergeCell ref="BC11:BD11"/>
    <mergeCell ref="BE11:BE12"/>
    <mergeCell ref="BD48:BF48"/>
    <mergeCell ref="DE11:DE12"/>
    <mergeCell ref="DF11:DF12"/>
    <mergeCell ref="DG11:DG12"/>
    <mergeCell ref="DH11:DH12"/>
    <mergeCell ref="DB11:DB12"/>
    <mergeCell ref="DC11:DC12"/>
    <mergeCell ref="DD11:DD12"/>
    <mergeCell ref="BF11:BF12"/>
    <mergeCell ref="AV39:AW39"/>
    <mergeCell ref="AV41:BI41"/>
    <mergeCell ref="AV42:AW43"/>
    <mergeCell ref="BD46:BF46"/>
    <mergeCell ref="BD47:BF47"/>
    <mergeCell ref="BD60:BF60"/>
    <mergeCell ref="A101:A102"/>
    <mergeCell ref="B101:C101"/>
    <mergeCell ref="A108:C108"/>
    <mergeCell ref="BD49:BF49"/>
    <mergeCell ref="BD50:BF50"/>
    <mergeCell ref="BD51:BF51"/>
    <mergeCell ref="BD52:BF52"/>
    <mergeCell ref="BD53:BF53"/>
    <mergeCell ref="BD59:BF59"/>
  </mergeCells>
  <phoneticPr fontId="70" type="noConversion"/>
  <conditionalFormatting sqref="P14:P29">
    <cfRule type="cellIs" dxfId="15" priority="3" operator="greaterThan">
      <formula>0.05</formula>
    </cfRule>
    <cfRule type="cellIs" dxfId="14" priority="4" operator="lessThan">
      <formula>0.001</formula>
    </cfRule>
  </conditionalFormatting>
  <conditionalFormatting sqref="AA14:AA29">
    <cfRule type="cellIs" dxfId="13" priority="6" operator="greaterThan">
      <formula>"s14"</formula>
    </cfRule>
  </conditionalFormatting>
  <conditionalFormatting sqref="AB14:AB29">
    <cfRule type="cellIs" dxfId="12" priority="1" operator="lessThan">
      <formula>1</formula>
    </cfRule>
    <cfRule type="cellIs" dxfId="11" priority="2" operator="greaterThan">
      <formula>5</formula>
    </cfRule>
  </conditionalFormatting>
  <conditionalFormatting sqref="AJ14:AJ29">
    <cfRule type="cellIs" dxfId="10" priority="7" operator="lessThan">
      <formula>$K14</formula>
    </cfRule>
  </conditionalFormatting>
  <conditionalFormatting sqref="AS14:AT15">
    <cfRule type="cellIs" dxfId="9" priority="65" operator="lessThan">
      <formula>0.5</formula>
    </cfRule>
  </conditionalFormatting>
  <conditionalFormatting sqref="AS21:AT29">
    <cfRule type="cellIs" dxfId="8" priority="5" operator="lessThan">
      <formula>0.5</formula>
    </cfRule>
  </conditionalFormatting>
  <printOptions horizontalCentered="1"/>
  <pageMargins left="0.51181102362204722" right="0.51181102362204722" top="0.98425196850393704" bottom="0.98425196850393704" header="0.31496062992125984" footer="0.51181102362204722"/>
  <pageSetup paperSize="8" scale="57" fitToHeight="0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B1:AM22"/>
  <sheetViews>
    <sheetView showGridLines="0" view="pageBreakPreview" zoomScale="98" zoomScaleNormal="85" zoomScaleSheetLayoutView="98" workbookViewId="0">
      <selection activeCell="AE11" sqref="AE11"/>
    </sheetView>
  </sheetViews>
  <sheetFormatPr defaultRowHeight="12.75" x14ac:dyDescent="0.2"/>
  <cols>
    <col min="1" max="1" width="3.6640625" style="1" customWidth="1"/>
    <col min="2" max="2" width="46" style="1" customWidth="1"/>
    <col min="3" max="3" width="7.33203125" style="2" customWidth="1"/>
    <col min="4" max="4" width="2.1640625" style="1" customWidth="1"/>
    <col min="5" max="5" width="8.6640625" style="3" customWidth="1"/>
    <col min="6" max="6" width="6.6640625" style="2" customWidth="1"/>
    <col min="7" max="7" width="2.33203125" style="2" customWidth="1"/>
    <col min="8" max="8" width="8" style="4" customWidth="1"/>
    <col min="9" max="9" width="11.6640625" style="5" customWidth="1"/>
    <col min="10" max="11" width="10.1640625" style="1" customWidth="1"/>
    <col min="12" max="12" width="13.1640625" style="1" customWidth="1"/>
    <col min="13" max="13" width="14.83203125" style="1" customWidth="1"/>
    <col min="14" max="14" width="14.6640625" style="1" customWidth="1"/>
    <col min="15" max="15" width="17" style="1" customWidth="1"/>
    <col min="16" max="16" width="18.6640625" style="1" customWidth="1"/>
    <col min="17" max="19" width="16.33203125" style="1" customWidth="1"/>
    <col min="20" max="23" width="14.5" style="1" customWidth="1"/>
    <col min="24" max="24" width="17.6640625" style="1" customWidth="1"/>
    <col min="25" max="25" width="16.5" style="1" customWidth="1"/>
    <col min="26" max="26" width="16.33203125" style="1" customWidth="1"/>
    <col min="27" max="27" width="15.1640625" style="1" customWidth="1"/>
    <col min="28" max="28" width="14" style="1" customWidth="1"/>
    <col min="29" max="29" width="17" style="1" customWidth="1"/>
    <col min="30" max="32" width="14" style="1" customWidth="1"/>
    <col min="33" max="33" width="15.83203125" style="1" customWidth="1"/>
    <col min="34" max="35" width="12" style="1" customWidth="1"/>
    <col min="36" max="36" width="15.83203125" style="1" customWidth="1"/>
    <col min="37" max="37" width="18.33203125" style="1" customWidth="1"/>
    <col min="38" max="38" width="12" style="1" customWidth="1"/>
    <col min="39" max="39" width="13.33203125" style="1" customWidth="1"/>
    <col min="40" max="274" width="9.33203125" style="1"/>
    <col min="275" max="275" width="2.6640625" style="1" customWidth="1"/>
    <col min="276" max="276" width="5" style="1" customWidth="1"/>
    <col min="277" max="277" width="43.1640625" style="1" customWidth="1"/>
    <col min="278" max="278" width="14.83203125" style="1" customWidth="1"/>
    <col min="279" max="279" width="9.33203125" style="1" customWidth="1"/>
    <col min="280" max="280" width="14.6640625" style="1" customWidth="1"/>
    <col min="281" max="281" width="11.33203125" style="1" customWidth="1"/>
    <col min="282" max="282" width="13.33203125" style="1" customWidth="1"/>
    <col min="283" max="283" width="9.6640625" style="1" customWidth="1"/>
    <col min="284" max="284" width="17.1640625" style="1" customWidth="1"/>
    <col min="285" max="285" width="8.83203125" style="1" customWidth="1"/>
    <col min="286" max="286" width="10.83203125" style="1" customWidth="1"/>
    <col min="287" max="287" width="11.6640625" style="1" customWidth="1"/>
    <col min="288" max="288" width="12.6640625" style="1" customWidth="1"/>
    <col min="289" max="289" width="13.33203125" style="1" customWidth="1"/>
    <col min="290" max="290" width="10.1640625" style="1" customWidth="1"/>
    <col min="291" max="291" width="11.5" style="1" customWidth="1"/>
    <col min="292" max="293" width="12" style="1" customWidth="1"/>
    <col min="294" max="294" width="9.6640625" style="1" customWidth="1"/>
    <col min="295" max="295" width="2.5" style="1" customWidth="1"/>
    <col min="296" max="530" width="9.33203125" style="1"/>
    <col min="531" max="531" width="2.6640625" style="1" customWidth="1"/>
    <col min="532" max="532" width="5" style="1" customWidth="1"/>
    <col min="533" max="533" width="43.1640625" style="1" customWidth="1"/>
    <col min="534" max="534" width="14.83203125" style="1" customWidth="1"/>
    <col min="535" max="535" width="9.33203125" style="1" customWidth="1"/>
    <col min="536" max="536" width="14.6640625" style="1" customWidth="1"/>
    <col min="537" max="537" width="11.33203125" style="1" customWidth="1"/>
    <col min="538" max="538" width="13.33203125" style="1" customWidth="1"/>
    <col min="539" max="539" width="9.6640625" style="1" customWidth="1"/>
    <col min="540" max="540" width="17.1640625" style="1" customWidth="1"/>
    <col min="541" max="541" width="8.83203125" style="1" customWidth="1"/>
    <col min="542" max="542" width="10.83203125" style="1" customWidth="1"/>
    <col min="543" max="543" width="11.6640625" style="1" customWidth="1"/>
    <col min="544" max="544" width="12.6640625" style="1" customWidth="1"/>
    <col min="545" max="545" width="13.33203125" style="1" customWidth="1"/>
    <col min="546" max="546" width="10.1640625" style="1" customWidth="1"/>
    <col min="547" max="547" width="11.5" style="1" customWidth="1"/>
    <col min="548" max="549" width="12" style="1" customWidth="1"/>
    <col min="550" max="550" width="9.6640625" style="1" customWidth="1"/>
    <col min="551" max="551" width="2.5" style="1" customWidth="1"/>
    <col min="552" max="786" width="9.33203125" style="1"/>
    <col min="787" max="787" width="2.6640625" style="1" customWidth="1"/>
    <col min="788" max="788" width="5" style="1" customWidth="1"/>
    <col min="789" max="789" width="43.1640625" style="1" customWidth="1"/>
    <col min="790" max="790" width="14.83203125" style="1" customWidth="1"/>
    <col min="791" max="791" width="9.33203125" style="1" customWidth="1"/>
    <col min="792" max="792" width="14.6640625" style="1" customWidth="1"/>
    <col min="793" max="793" width="11.33203125" style="1" customWidth="1"/>
    <col min="794" max="794" width="13.33203125" style="1" customWidth="1"/>
    <col min="795" max="795" width="9.6640625" style="1" customWidth="1"/>
    <col min="796" max="796" width="17.1640625" style="1" customWidth="1"/>
    <col min="797" max="797" width="8.83203125" style="1" customWidth="1"/>
    <col min="798" max="798" width="10.83203125" style="1" customWidth="1"/>
    <col min="799" max="799" width="11.6640625" style="1" customWidth="1"/>
    <col min="800" max="800" width="12.6640625" style="1" customWidth="1"/>
    <col min="801" max="801" width="13.33203125" style="1" customWidth="1"/>
    <col min="802" max="802" width="10.1640625" style="1" customWidth="1"/>
    <col min="803" max="803" width="11.5" style="1" customWidth="1"/>
    <col min="804" max="805" width="12" style="1" customWidth="1"/>
    <col min="806" max="806" width="9.6640625" style="1" customWidth="1"/>
    <col min="807" max="807" width="2.5" style="1" customWidth="1"/>
    <col min="808" max="1042" width="9.33203125" style="1"/>
    <col min="1043" max="1043" width="2.6640625" style="1" customWidth="1"/>
    <col min="1044" max="1044" width="5" style="1" customWidth="1"/>
    <col min="1045" max="1045" width="43.1640625" style="1" customWidth="1"/>
    <col min="1046" max="1046" width="14.83203125" style="1" customWidth="1"/>
    <col min="1047" max="1047" width="9.33203125" style="1" customWidth="1"/>
    <col min="1048" max="1048" width="14.6640625" style="1" customWidth="1"/>
    <col min="1049" max="1049" width="11.33203125" style="1" customWidth="1"/>
    <col min="1050" max="1050" width="13.33203125" style="1" customWidth="1"/>
    <col min="1051" max="1051" width="9.6640625" style="1" customWidth="1"/>
    <col min="1052" max="1052" width="17.1640625" style="1" customWidth="1"/>
    <col min="1053" max="1053" width="8.83203125" style="1" customWidth="1"/>
    <col min="1054" max="1054" width="10.83203125" style="1" customWidth="1"/>
    <col min="1055" max="1055" width="11.6640625" style="1" customWidth="1"/>
    <col min="1056" max="1056" width="12.6640625" style="1" customWidth="1"/>
    <col min="1057" max="1057" width="13.33203125" style="1" customWidth="1"/>
    <col min="1058" max="1058" width="10.1640625" style="1" customWidth="1"/>
    <col min="1059" max="1059" width="11.5" style="1" customWidth="1"/>
    <col min="1060" max="1061" width="12" style="1" customWidth="1"/>
    <col min="1062" max="1062" width="9.6640625" style="1" customWidth="1"/>
    <col min="1063" max="1063" width="2.5" style="1" customWidth="1"/>
    <col min="1064" max="1298" width="9.33203125" style="1"/>
    <col min="1299" max="1299" width="2.6640625" style="1" customWidth="1"/>
    <col min="1300" max="1300" width="5" style="1" customWidth="1"/>
    <col min="1301" max="1301" width="43.1640625" style="1" customWidth="1"/>
    <col min="1302" max="1302" width="14.83203125" style="1" customWidth="1"/>
    <col min="1303" max="1303" width="9.33203125" style="1" customWidth="1"/>
    <col min="1304" max="1304" width="14.6640625" style="1" customWidth="1"/>
    <col min="1305" max="1305" width="11.33203125" style="1" customWidth="1"/>
    <col min="1306" max="1306" width="13.33203125" style="1" customWidth="1"/>
    <col min="1307" max="1307" width="9.6640625" style="1" customWidth="1"/>
    <col min="1308" max="1308" width="17.1640625" style="1" customWidth="1"/>
    <col min="1309" max="1309" width="8.83203125" style="1" customWidth="1"/>
    <col min="1310" max="1310" width="10.83203125" style="1" customWidth="1"/>
    <col min="1311" max="1311" width="11.6640625" style="1" customWidth="1"/>
    <col min="1312" max="1312" width="12.6640625" style="1" customWidth="1"/>
    <col min="1313" max="1313" width="13.33203125" style="1" customWidth="1"/>
    <col min="1314" max="1314" width="10.1640625" style="1" customWidth="1"/>
    <col min="1315" max="1315" width="11.5" style="1" customWidth="1"/>
    <col min="1316" max="1317" width="12" style="1" customWidth="1"/>
    <col min="1318" max="1318" width="9.6640625" style="1" customWidth="1"/>
    <col min="1319" max="1319" width="2.5" style="1" customWidth="1"/>
    <col min="1320" max="1554" width="9.33203125" style="1"/>
    <col min="1555" max="1555" width="2.6640625" style="1" customWidth="1"/>
    <col min="1556" max="1556" width="5" style="1" customWidth="1"/>
    <col min="1557" max="1557" width="43.1640625" style="1" customWidth="1"/>
    <col min="1558" max="1558" width="14.83203125" style="1" customWidth="1"/>
    <col min="1559" max="1559" width="9.33203125" style="1" customWidth="1"/>
    <col min="1560" max="1560" width="14.6640625" style="1" customWidth="1"/>
    <col min="1561" max="1561" width="11.33203125" style="1" customWidth="1"/>
    <col min="1562" max="1562" width="13.33203125" style="1" customWidth="1"/>
    <col min="1563" max="1563" width="9.6640625" style="1" customWidth="1"/>
    <col min="1564" max="1564" width="17.1640625" style="1" customWidth="1"/>
    <col min="1565" max="1565" width="8.83203125" style="1" customWidth="1"/>
    <col min="1566" max="1566" width="10.83203125" style="1" customWidth="1"/>
    <col min="1567" max="1567" width="11.6640625" style="1" customWidth="1"/>
    <col min="1568" max="1568" width="12.6640625" style="1" customWidth="1"/>
    <col min="1569" max="1569" width="13.33203125" style="1" customWidth="1"/>
    <col min="1570" max="1570" width="10.1640625" style="1" customWidth="1"/>
    <col min="1571" max="1571" width="11.5" style="1" customWidth="1"/>
    <col min="1572" max="1573" width="12" style="1" customWidth="1"/>
    <col min="1574" max="1574" width="9.6640625" style="1" customWidth="1"/>
    <col min="1575" max="1575" width="2.5" style="1" customWidth="1"/>
    <col min="1576" max="1810" width="9.33203125" style="1"/>
    <col min="1811" max="1811" width="2.6640625" style="1" customWidth="1"/>
    <col min="1812" max="1812" width="5" style="1" customWidth="1"/>
    <col min="1813" max="1813" width="43.1640625" style="1" customWidth="1"/>
    <col min="1814" max="1814" width="14.83203125" style="1" customWidth="1"/>
    <col min="1815" max="1815" width="9.33203125" style="1" customWidth="1"/>
    <col min="1816" max="1816" width="14.6640625" style="1" customWidth="1"/>
    <col min="1817" max="1817" width="11.33203125" style="1" customWidth="1"/>
    <col min="1818" max="1818" width="13.33203125" style="1" customWidth="1"/>
    <col min="1819" max="1819" width="9.6640625" style="1" customWidth="1"/>
    <col min="1820" max="1820" width="17.1640625" style="1" customWidth="1"/>
    <col min="1821" max="1821" width="8.83203125" style="1" customWidth="1"/>
    <col min="1822" max="1822" width="10.83203125" style="1" customWidth="1"/>
    <col min="1823" max="1823" width="11.6640625" style="1" customWidth="1"/>
    <col min="1824" max="1824" width="12.6640625" style="1" customWidth="1"/>
    <col min="1825" max="1825" width="13.33203125" style="1" customWidth="1"/>
    <col min="1826" max="1826" width="10.1640625" style="1" customWidth="1"/>
    <col min="1827" max="1827" width="11.5" style="1" customWidth="1"/>
    <col min="1828" max="1829" width="12" style="1" customWidth="1"/>
    <col min="1830" max="1830" width="9.6640625" style="1" customWidth="1"/>
    <col min="1831" max="1831" width="2.5" style="1" customWidth="1"/>
    <col min="1832" max="2066" width="9.33203125" style="1"/>
    <col min="2067" max="2067" width="2.6640625" style="1" customWidth="1"/>
    <col min="2068" max="2068" width="5" style="1" customWidth="1"/>
    <col min="2069" max="2069" width="43.1640625" style="1" customWidth="1"/>
    <col min="2070" max="2070" width="14.83203125" style="1" customWidth="1"/>
    <col min="2071" max="2071" width="9.33203125" style="1" customWidth="1"/>
    <col min="2072" max="2072" width="14.6640625" style="1" customWidth="1"/>
    <col min="2073" max="2073" width="11.33203125" style="1" customWidth="1"/>
    <col min="2074" max="2074" width="13.33203125" style="1" customWidth="1"/>
    <col min="2075" max="2075" width="9.6640625" style="1" customWidth="1"/>
    <col min="2076" max="2076" width="17.1640625" style="1" customWidth="1"/>
    <col min="2077" max="2077" width="8.83203125" style="1" customWidth="1"/>
    <col min="2078" max="2078" width="10.83203125" style="1" customWidth="1"/>
    <col min="2079" max="2079" width="11.6640625" style="1" customWidth="1"/>
    <col min="2080" max="2080" width="12.6640625" style="1" customWidth="1"/>
    <col min="2081" max="2081" width="13.33203125" style="1" customWidth="1"/>
    <col min="2082" max="2082" width="10.1640625" style="1" customWidth="1"/>
    <col min="2083" max="2083" width="11.5" style="1" customWidth="1"/>
    <col min="2084" max="2085" width="12" style="1" customWidth="1"/>
    <col min="2086" max="2086" width="9.6640625" style="1" customWidth="1"/>
    <col min="2087" max="2087" width="2.5" style="1" customWidth="1"/>
    <col min="2088" max="2322" width="9.33203125" style="1"/>
    <col min="2323" max="2323" width="2.6640625" style="1" customWidth="1"/>
    <col min="2324" max="2324" width="5" style="1" customWidth="1"/>
    <col min="2325" max="2325" width="43.1640625" style="1" customWidth="1"/>
    <col min="2326" max="2326" width="14.83203125" style="1" customWidth="1"/>
    <col min="2327" max="2327" width="9.33203125" style="1" customWidth="1"/>
    <col min="2328" max="2328" width="14.6640625" style="1" customWidth="1"/>
    <col min="2329" max="2329" width="11.33203125" style="1" customWidth="1"/>
    <col min="2330" max="2330" width="13.33203125" style="1" customWidth="1"/>
    <col min="2331" max="2331" width="9.6640625" style="1" customWidth="1"/>
    <col min="2332" max="2332" width="17.1640625" style="1" customWidth="1"/>
    <col min="2333" max="2333" width="8.83203125" style="1" customWidth="1"/>
    <col min="2334" max="2334" width="10.83203125" style="1" customWidth="1"/>
    <col min="2335" max="2335" width="11.6640625" style="1" customWidth="1"/>
    <col min="2336" max="2336" width="12.6640625" style="1" customWidth="1"/>
    <col min="2337" max="2337" width="13.33203125" style="1" customWidth="1"/>
    <col min="2338" max="2338" width="10.1640625" style="1" customWidth="1"/>
    <col min="2339" max="2339" width="11.5" style="1" customWidth="1"/>
    <col min="2340" max="2341" width="12" style="1" customWidth="1"/>
    <col min="2342" max="2342" width="9.6640625" style="1" customWidth="1"/>
    <col min="2343" max="2343" width="2.5" style="1" customWidth="1"/>
    <col min="2344" max="2578" width="9.33203125" style="1"/>
    <col min="2579" max="2579" width="2.6640625" style="1" customWidth="1"/>
    <col min="2580" max="2580" width="5" style="1" customWidth="1"/>
    <col min="2581" max="2581" width="43.1640625" style="1" customWidth="1"/>
    <col min="2582" max="2582" width="14.83203125" style="1" customWidth="1"/>
    <col min="2583" max="2583" width="9.33203125" style="1" customWidth="1"/>
    <col min="2584" max="2584" width="14.6640625" style="1" customWidth="1"/>
    <col min="2585" max="2585" width="11.33203125" style="1" customWidth="1"/>
    <col min="2586" max="2586" width="13.33203125" style="1" customWidth="1"/>
    <col min="2587" max="2587" width="9.6640625" style="1" customWidth="1"/>
    <col min="2588" max="2588" width="17.1640625" style="1" customWidth="1"/>
    <col min="2589" max="2589" width="8.83203125" style="1" customWidth="1"/>
    <col min="2590" max="2590" width="10.83203125" style="1" customWidth="1"/>
    <col min="2591" max="2591" width="11.6640625" style="1" customWidth="1"/>
    <col min="2592" max="2592" width="12.6640625" style="1" customWidth="1"/>
    <col min="2593" max="2593" width="13.33203125" style="1" customWidth="1"/>
    <col min="2594" max="2594" width="10.1640625" style="1" customWidth="1"/>
    <col min="2595" max="2595" width="11.5" style="1" customWidth="1"/>
    <col min="2596" max="2597" width="12" style="1" customWidth="1"/>
    <col min="2598" max="2598" width="9.6640625" style="1" customWidth="1"/>
    <col min="2599" max="2599" width="2.5" style="1" customWidth="1"/>
    <col min="2600" max="2834" width="9.33203125" style="1"/>
    <col min="2835" max="2835" width="2.6640625" style="1" customWidth="1"/>
    <col min="2836" max="2836" width="5" style="1" customWidth="1"/>
    <col min="2837" max="2837" width="43.1640625" style="1" customWidth="1"/>
    <col min="2838" max="2838" width="14.83203125" style="1" customWidth="1"/>
    <col min="2839" max="2839" width="9.33203125" style="1" customWidth="1"/>
    <col min="2840" max="2840" width="14.6640625" style="1" customWidth="1"/>
    <col min="2841" max="2841" width="11.33203125" style="1" customWidth="1"/>
    <col min="2842" max="2842" width="13.33203125" style="1" customWidth="1"/>
    <col min="2843" max="2843" width="9.6640625" style="1" customWidth="1"/>
    <col min="2844" max="2844" width="17.1640625" style="1" customWidth="1"/>
    <col min="2845" max="2845" width="8.83203125" style="1" customWidth="1"/>
    <col min="2846" max="2846" width="10.83203125" style="1" customWidth="1"/>
    <col min="2847" max="2847" width="11.6640625" style="1" customWidth="1"/>
    <col min="2848" max="2848" width="12.6640625" style="1" customWidth="1"/>
    <col min="2849" max="2849" width="13.33203125" style="1" customWidth="1"/>
    <col min="2850" max="2850" width="10.1640625" style="1" customWidth="1"/>
    <col min="2851" max="2851" width="11.5" style="1" customWidth="1"/>
    <col min="2852" max="2853" width="12" style="1" customWidth="1"/>
    <col min="2854" max="2854" width="9.6640625" style="1" customWidth="1"/>
    <col min="2855" max="2855" width="2.5" style="1" customWidth="1"/>
    <col min="2856" max="3090" width="9.33203125" style="1"/>
    <col min="3091" max="3091" width="2.6640625" style="1" customWidth="1"/>
    <col min="3092" max="3092" width="5" style="1" customWidth="1"/>
    <col min="3093" max="3093" width="43.1640625" style="1" customWidth="1"/>
    <col min="3094" max="3094" width="14.83203125" style="1" customWidth="1"/>
    <col min="3095" max="3095" width="9.33203125" style="1" customWidth="1"/>
    <col min="3096" max="3096" width="14.6640625" style="1" customWidth="1"/>
    <col min="3097" max="3097" width="11.33203125" style="1" customWidth="1"/>
    <col min="3098" max="3098" width="13.33203125" style="1" customWidth="1"/>
    <col min="3099" max="3099" width="9.6640625" style="1" customWidth="1"/>
    <col min="3100" max="3100" width="17.1640625" style="1" customWidth="1"/>
    <col min="3101" max="3101" width="8.83203125" style="1" customWidth="1"/>
    <col min="3102" max="3102" width="10.83203125" style="1" customWidth="1"/>
    <col min="3103" max="3103" width="11.6640625" style="1" customWidth="1"/>
    <col min="3104" max="3104" width="12.6640625" style="1" customWidth="1"/>
    <col min="3105" max="3105" width="13.33203125" style="1" customWidth="1"/>
    <col min="3106" max="3106" width="10.1640625" style="1" customWidth="1"/>
    <col min="3107" max="3107" width="11.5" style="1" customWidth="1"/>
    <col min="3108" max="3109" width="12" style="1" customWidth="1"/>
    <col min="3110" max="3110" width="9.6640625" style="1" customWidth="1"/>
    <col min="3111" max="3111" width="2.5" style="1" customWidth="1"/>
    <col min="3112" max="3346" width="9.33203125" style="1"/>
    <col min="3347" max="3347" width="2.6640625" style="1" customWidth="1"/>
    <col min="3348" max="3348" width="5" style="1" customWidth="1"/>
    <col min="3349" max="3349" width="43.1640625" style="1" customWidth="1"/>
    <col min="3350" max="3350" width="14.83203125" style="1" customWidth="1"/>
    <col min="3351" max="3351" width="9.33203125" style="1" customWidth="1"/>
    <col min="3352" max="3352" width="14.6640625" style="1" customWidth="1"/>
    <col min="3353" max="3353" width="11.33203125" style="1" customWidth="1"/>
    <col min="3354" max="3354" width="13.33203125" style="1" customWidth="1"/>
    <col min="3355" max="3355" width="9.6640625" style="1" customWidth="1"/>
    <col min="3356" max="3356" width="17.1640625" style="1" customWidth="1"/>
    <col min="3357" max="3357" width="8.83203125" style="1" customWidth="1"/>
    <col min="3358" max="3358" width="10.83203125" style="1" customWidth="1"/>
    <col min="3359" max="3359" width="11.6640625" style="1" customWidth="1"/>
    <col min="3360" max="3360" width="12.6640625" style="1" customWidth="1"/>
    <col min="3361" max="3361" width="13.33203125" style="1" customWidth="1"/>
    <col min="3362" max="3362" width="10.1640625" style="1" customWidth="1"/>
    <col min="3363" max="3363" width="11.5" style="1" customWidth="1"/>
    <col min="3364" max="3365" width="12" style="1" customWidth="1"/>
    <col min="3366" max="3366" width="9.6640625" style="1" customWidth="1"/>
    <col min="3367" max="3367" width="2.5" style="1" customWidth="1"/>
    <col min="3368" max="3602" width="9.33203125" style="1"/>
    <col min="3603" max="3603" width="2.6640625" style="1" customWidth="1"/>
    <col min="3604" max="3604" width="5" style="1" customWidth="1"/>
    <col min="3605" max="3605" width="43.1640625" style="1" customWidth="1"/>
    <col min="3606" max="3606" width="14.83203125" style="1" customWidth="1"/>
    <col min="3607" max="3607" width="9.33203125" style="1" customWidth="1"/>
    <col min="3608" max="3608" width="14.6640625" style="1" customWidth="1"/>
    <col min="3609" max="3609" width="11.33203125" style="1" customWidth="1"/>
    <col min="3610" max="3610" width="13.33203125" style="1" customWidth="1"/>
    <col min="3611" max="3611" width="9.6640625" style="1" customWidth="1"/>
    <col min="3612" max="3612" width="17.1640625" style="1" customWidth="1"/>
    <col min="3613" max="3613" width="8.83203125" style="1" customWidth="1"/>
    <col min="3614" max="3614" width="10.83203125" style="1" customWidth="1"/>
    <col min="3615" max="3615" width="11.6640625" style="1" customWidth="1"/>
    <col min="3616" max="3616" width="12.6640625" style="1" customWidth="1"/>
    <col min="3617" max="3617" width="13.33203125" style="1" customWidth="1"/>
    <col min="3618" max="3618" width="10.1640625" style="1" customWidth="1"/>
    <col min="3619" max="3619" width="11.5" style="1" customWidth="1"/>
    <col min="3620" max="3621" width="12" style="1" customWidth="1"/>
    <col min="3622" max="3622" width="9.6640625" style="1" customWidth="1"/>
    <col min="3623" max="3623" width="2.5" style="1" customWidth="1"/>
    <col min="3624" max="3858" width="9.33203125" style="1"/>
    <col min="3859" max="3859" width="2.6640625" style="1" customWidth="1"/>
    <col min="3860" max="3860" width="5" style="1" customWidth="1"/>
    <col min="3861" max="3861" width="43.1640625" style="1" customWidth="1"/>
    <col min="3862" max="3862" width="14.83203125" style="1" customWidth="1"/>
    <col min="3863" max="3863" width="9.33203125" style="1" customWidth="1"/>
    <col min="3864" max="3864" width="14.6640625" style="1" customWidth="1"/>
    <col min="3865" max="3865" width="11.33203125" style="1" customWidth="1"/>
    <col min="3866" max="3866" width="13.33203125" style="1" customWidth="1"/>
    <col min="3867" max="3867" width="9.6640625" style="1" customWidth="1"/>
    <col min="3868" max="3868" width="17.1640625" style="1" customWidth="1"/>
    <col min="3869" max="3869" width="8.83203125" style="1" customWidth="1"/>
    <col min="3870" max="3870" width="10.83203125" style="1" customWidth="1"/>
    <col min="3871" max="3871" width="11.6640625" style="1" customWidth="1"/>
    <col min="3872" max="3872" width="12.6640625" style="1" customWidth="1"/>
    <col min="3873" max="3873" width="13.33203125" style="1" customWidth="1"/>
    <col min="3874" max="3874" width="10.1640625" style="1" customWidth="1"/>
    <col min="3875" max="3875" width="11.5" style="1" customWidth="1"/>
    <col min="3876" max="3877" width="12" style="1" customWidth="1"/>
    <col min="3878" max="3878" width="9.6640625" style="1" customWidth="1"/>
    <col min="3879" max="3879" width="2.5" style="1" customWidth="1"/>
    <col min="3880" max="4114" width="9.33203125" style="1"/>
    <col min="4115" max="4115" width="2.6640625" style="1" customWidth="1"/>
    <col min="4116" max="4116" width="5" style="1" customWidth="1"/>
    <col min="4117" max="4117" width="43.1640625" style="1" customWidth="1"/>
    <col min="4118" max="4118" width="14.83203125" style="1" customWidth="1"/>
    <col min="4119" max="4119" width="9.33203125" style="1" customWidth="1"/>
    <col min="4120" max="4120" width="14.6640625" style="1" customWidth="1"/>
    <col min="4121" max="4121" width="11.33203125" style="1" customWidth="1"/>
    <col min="4122" max="4122" width="13.33203125" style="1" customWidth="1"/>
    <col min="4123" max="4123" width="9.6640625" style="1" customWidth="1"/>
    <col min="4124" max="4124" width="17.1640625" style="1" customWidth="1"/>
    <col min="4125" max="4125" width="8.83203125" style="1" customWidth="1"/>
    <col min="4126" max="4126" width="10.83203125" style="1" customWidth="1"/>
    <col min="4127" max="4127" width="11.6640625" style="1" customWidth="1"/>
    <col min="4128" max="4128" width="12.6640625" style="1" customWidth="1"/>
    <col min="4129" max="4129" width="13.33203125" style="1" customWidth="1"/>
    <col min="4130" max="4130" width="10.1640625" style="1" customWidth="1"/>
    <col min="4131" max="4131" width="11.5" style="1" customWidth="1"/>
    <col min="4132" max="4133" width="12" style="1" customWidth="1"/>
    <col min="4134" max="4134" width="9.6640625" style="1" customWidth="1"/>
    <col min="4135" max="4135" width="2.5" style="1" customWidth="1"/>
    <col min="4136" max="4370" width="9.33203125" style="1"/>
    <col min="4371" max="4371" width="2.6640625" style="1" customWidth="1"/>
    <col min="4372" max="4372" width="5" style="1" customWidth="1"/>
    <col min="4373" max="4373" width="43.1640625" style="1" customWidth="1"/>
    <col min="4374" max="4374" width="14.83203125" style="1" customWidth="1"/>
    <col min="4375" max="4375" width="9.33203125" style="1" customWidth="1"/>
    <col min="4376" max="4376" width="14.6640625" style="1" customWidth="1"/>
    <col min="4377" max="4377" width="11.33203125" style="1" customWidth="1"/>
    <col min="4378" max="4378" width="13.33203125" style="1" customWidth="1"/>
    <col min="4379" max="4379" width="9.6640625" style="1" customWidth="1"/>
    <col min="4380" max="4380" width="17.1640625" style="1" customWidth="1"/>
    <col min="4381" max="4381" width="8.83203125" style="1" customWidth="1"/>
    <col min="4382" max="4382" width="10.83203125" style="1" customWidth="1"/>
    <col min="4383" max="4383" width="11.6640625" style="1" customWidth="1"/>
    <col min="4384" max="4384" width="12.6640625" style="1" customWidth="1"/>
    <col min="4385" max="4385" width="13.33203125" style="1" customWidth="1"/>
    <col min="4386" max="4386" width="10.1640625" style="1" customWidth="1"/>
    <col min="4387" max="4387" width="11.5" style="1" customWidth="1"/>
    <col min="4388" max="4389" width="12" style="1" customWidth="1"/>
    <col min="4390" max="4390" width="9.6640625" style="1" customWidth="1"/>
    <col min="4391" max="4391" width="2.5" style="1" customWidth="1"/>
    <col min="4392" max="4626" width="9.33203125" style="1"/>
    <col min="4627" max="4627" width="2.6640625" style="1" customWidth="1"/>
    <col min="4628" max="4628" width="5" style="1" customWidth="1"/>
    <col min="4629" max="4629" width="43.1640625" style="1" customWidth="1"/>
    <col min="4630" max="4630" width="14.83203125" style="1" customWidth="1"/>
    <col min="4631" max="4631" width="9.33203125" style="1" customWidth="1"/>
    <col min="4632" max="4632" width="14.6640625" style="1" customWidth="1"/>
    <col min="4633" max="4633" width="11.33203125" style="1" customWidth="1"/>
    <col min="4634" max="4634" width="13.33203125" style="1" customWidth="1"/>
    <col min="4635" max="4635" width="9.6640625" style="1" customWidth="1"/>
    <col min="4636" max="4636" width="17.1640625" style="1" customWidth="1"/>
    <col min="4637" max="4637" width="8.83203125" style="1" customWidth="1"/>
    <col min="4638" max="4638" width="10.83203125" style="1" customWidth="1"/>
    <col min="4639" max="4639" width="11.6640625" style="1" customWidth="1"/>
    <col min="4640" max="4640" width="12.6640625" style="1" customWidth="1"/>
    <col min="4641" max="4641" width="13.33203125" style="1" customWidth="1"/>
    <col min="4642" max="4642" width="10.1640625" style="1" customWidth="1"/>
    <col min="4643" max="4643" width="11.5" style="1" customWidth="1"/>
    <col min="4644" max="4645" width="12" style="1" customWidth="1"/>
    <col min="4646" max="4646" width="9.6640625" style="1" customWidth="1"/>
    <col min="4647" max="4647" width="2.5" style="1" customWidth="1"/>
    <col min="4648" max="4882" width="9.33203125" style="1"/>
    <col min="4883" max="4883" width="2.6640625" style="1" customWidth="1"/>
    <col min="4884" max="4884" width="5" style="1" customWidth="1"/>
    <col min="4885" max="4885" width="43.1640625" style="1" customWidth="1"/>
    <col min="4886" max="4886" width="14.83203125" style="1" customWidth="1"/>
    <col min="4887" max="4887" width="9.33203125" style="1" customWidth="1"/>
    <col min="4888" max="4888" width="14.6640625" style="1" customWidth="1"/>
    <col min="4889" max="4889" width="11.33203125" style="1" customWidth="1"/>
    <col min="4890" max="4890" width="13.33203125" style="1" customWidth="1"/>
    <col min="4891" max="4891" width="9.6640625" style="1" customWidth="1"/>
    <col min="4892" max="4892" width="17.1640625" style="1" customWidth="1"/>
    <col min="4893" max="4893" width="8.83203125" style="1" customWidth="1"/>
    <col min="4894" max="4894" width="10.83203125" style="1" customWidth="1"/>
    <col min="4895" max="4895" width="11.6640625" style="1" customWidth="1"/>
    <col min="4896" max="4896" width="12.6640625" style="1" customWidth="1"/>
    <col min="4897" max="4897" width="13.33203125" style="1" customWidth="1"/>
    <col min="4898" max="4898" width="10.1640625" style="1" customWidth="1"/>
    <col min="4899" max="4899" width="11.5" style="1" customWidth="1"/>
    <col min="4900" max="4901" width="12" style="1" customWidth="1"/>
    <col min="4902" max="4902" width="9.6640625" style="1" customWidth="1"/>
    <col min="4903" max="4903" width="2.5" style="1" customWidth="1"/>
    <col min="4904" max="5138" width="9.33203125" style="1"/>
    <col min="5139" max="5139" width="2.6640625" style="1" customWidth="1"/>
    <col min="5140" max="5140" width="5" style="1" customWidth="1"/>
    <col min="5141" max="5141" width="43.1640625" style="1" customWidth="1"/>
    <col min="5142" max="5142" width="14.83203125" style="1" customWidth="1"/>
    <col min="5143" max="5143" width="9.33203125" style="1" customWidth="1"/>
    <col min="5144" max="5144" width="14.6640625" style="1" customWidth="1"/>
    <col min="5145" max="5145" width="11.33203125" style="1" customWidth="1"/>
    <col min="5146" max="5146" width="13.33203125" style="1" customWidth="1"/>
    <col min="5147" max="5147" width="9.6640625" style="1" customWidth="1"/>
    <col min="5148" max="5148" width="17.1640625" style="1" customWidth="1"/>
    <col min="5149" max="5149" width="8.83203125" style="1" customWidth="1"/>
    <col min="5150" max="5150" width="10.83203125" style="1" customWidth="1"/>
    <col min="5151" max="5151" width="11.6640625" style="1" customWidth="1"/>
    <col min="5152" max="5152" width="12.6640625" style="1" customWidth="1"/>
    <col min="5153" max="5153" width="13.33203125" style="1" customWidth="1"/>
    <col min="5154" max="5154" width="10.1640625" style="1" customWidth="1"/>
    <col min="5155" max="5155" width="11.5" style="1" customWidth="1"/>
    <col min="5156" max="5157" width="12" style="1" customWidth="1"/>
    <col min="5158" max="5158" width="9.6640625" style="1" customWidth="1"/>
    <col min="5159" max="5159" width="2.5" style="1" customWidth="1"/>
    <col min="5160" max="5394" width="9.33203125" style="1"/>
    <col min="5395" max="5395" width="2.6640625" style="1" customWidth="1"/>
    <col min="5396" max="5396" width="5" style="1" customWidth="1"/>
    <col min="5397" max="5397" width="43.1640625" style="1" customWidth="1"/>
    <col min="5398" max="5398" width="14.83203125" style="1" customWidth="1"/>
    <col min="5399" max="5399" width="9.33203125" style="1" customWidth="1"/>
    <col min="5400" max="5400" width="14.6640625" style="1" customWidth="1"/>
    <col min="5401" max="5401" width="11.33203125" style="1" customWidth="1"/>
    <col min="5402" max="5402" width="13.33203125" style="1" customWidth="1"/>
    <col min="5403" max="5403" width="9.6640625" style="1" customWidth="1"/>
    <col min="5404" max="5404" width="17.1640625" style="1" customWidth="1"/>
    <col min="5405" max="5405" width="8.83203125" style="1" customWidth="1"/>
    <col min="5406" max="5406" width="10.83203125" style="1" customWidth="1"/>
    <col min="5407" max="5407" width="11.6640625" style="1" customWidth="1"/>
    <col min="5408" max="5408" width="12.6640625" style="1" customWidth="1"/>
    <col min="5409" max="5409" width="13.33203125" style="1" customWidth="1"/>
    <col min="5410" max="5410" width="10.1640625" style="1" customWidth="1"/>
    <col min="5411" max="5411" width="11.5" style="1" customWidth="1"/>
    <col min="5412" max="5413" width="12" style="1" customWidth="1"/>
    <col min="5414" max="5414" width="9.6640625" style="1" customWidth="1"/>
    <col min="5415" max="5415" width="2.5" style="1" customWidth="1"/>
    <col min="5416" max="5650" width="9.33203125" style="1"/>
    <col min="5651" max="5651" width="2.6640625" style="1" customWidth="1"/>
    <col min="5652" max="5652" width="5" style="1" customWidth="1"/>
    <col min="5653" max="5653" width="43.1640625" style="1" customWidth="1"/>
    <col min="5654" max="5654" width="14.83203125" style="1" customWidth="1"/>
    <col min="5655" max="5655" width="9.33203125" style="1" customWidth="1"/>
    <col min="5656" max="5656" width="14.6640625" style="1" customWidth="1"/>
    <col min="5657" max="5657" width="11.33203125" style="1" customWidth="1"/>
    <col min="5658" max="5658" width="13.33203125" style="1" customWidth="1"/>
    <col min="5659" max="5659" width="9.6640625" style="1" customWidth="1"/>
    <col min="5660" max="5660" width="17.1640625" style="1" customWidth="1"/>
    <col min="5661" max="5661" width="8.83203125" style="1" customWidth="1"/>
    <col min="5662" max="5662" width="10.83203125" style="1" customWidth="1"/>
    <col min="5663" max="5663" width="11.6640625" style="1" customWidth="1"/>
    <col min="5664" max="5664" width="12.6640625" style="1" customWidth="1"/>
    <col min="5665" max="5665" width="13.33203125" style="1" customWidth="1"/>
    <col min="5666" max="5666" width="10.1640625" style="1" customWidth="1"/>
    <col min="5667" max="5667" width="11.5" style="1" customWidth="1"/>
    <col min="5668" max="5669" width="12" style="1" customWidth="1"/>
    <col min="5670" max="5670" width="9.6640625" style="1" customWidth="1"/>
    <col min="5671" max="5671" width="2.5" style="1" customWidth="1"/>
    <col min="5672" max="5906" width="9.33203125" style="1"/>
    <col min="5907" max="5907" width="2.6640625" style="1" customWidth="1"/>
    <col min="5908" max="5908" width="5" style="1" customWidth="1"/>
    <col min="5909" max="5909" width="43.1640625" style="1" customWidth="1"/>
    <col min="5910" max="5910" width="14.83203125" style="1" customWidth="1"/>
    <col min="5911" max="5911" width="9.33203125" style="1" customWidth="1"/>
    <col min="5912" max="5912" width="14.6640625" style="1" customWidth="1"/>
    <col min="5913" max="5913" width="11.33203125" style="1" customWidth="1"/>
    <col min="5914" max="5914" width="13.33203125" style="1" customWidth="1"/>
    <col min="5915" max="5915" width="9.6640625" style="1" customWidth="1"/>
    <col min="5916" max="5916" width="17.1640625" style="1" customWidth="1"/>
    <col min="5917" max="5917" width="8.83203125" style="1" customWidth="1"/>
    <col min="5918" max="5918" width="10.83203125" style="1" customWidth="1"/>
    <col min="5919" max="5919" width="11.6640625" style="1" customWidth="1"/>
    <col min="5920" max="5920" width="12.6640625" style="1" customWidth="1"/>
    <col min="5921" max="5921" width="13.33203125" style="1" customWidth="1"/>
    <col min="5922" max="5922" width="10.1640625" style="1" customWidth="1"/>
    <col min="5923" max="5923" width="11.5" style="1" customWidth="1"/>
    <col min="5924" max="5925" width="12" style="1" customWidth="1"/>
    <col min="5926" max="5926" width="9.6640625" style="1" customWidth="1"/>
    <col min="5927" max="5927" width="2.5" style="1" customWidth="1"/>
    <col min="5928" max="6162" width="9.33203125" style="1"/>
    <col min="6163" max="6163" width="2.6640625" style="1" customWidth="1"/>
    <col min="6164" max="6164" width="5" style="1" customWidth="1"/>
    <col min="6165" max="6165" width="43.1640625" style="1" customWidth="1"/>
    <col min="6166" max="6166" width="14.83203125" style="1" customWidth="1"/>
    <col min="6167" max="6167" width="9.33203125" style="1" customWidth="1"/>
    <col min="6168" max="6168" width="14.6640625" style="1" customWidth="1"/>
    <col min="6169" max="6169" width="11.33203125" style="1" customWidth="1"/>
    <col min="6170" max="6170" width="13.33203125" style="1" customWidth="1"/>
    <col min="6171" max="6171" width="9.6640625" style="1" customWidth="1"/>
    <col min="6172" max="6172" width="17.1640625" style="1" customWidth="1"/>
    <col min="6173" max="6173" width="8.83203125" style="1" customWidth="1"/>
    <col min="6174" max="6174" width="10.83203125" style="1" customWidth="1"/>
    <col min="6175" max="6175" width="11.6640625" style="1" customWidth="1"/>
    <col min="6176" max="6176" width="12.6640625" style="1" customWidth="1"/>
    <col min="6177" max="6177" width="13.33203125" style="1" customWidth="1"/>
    <col min="6178" max="6178" width="10.1640625" style="1" customWidth="1"/>
    <col min="6179" max="6179" width="11.5" style="1" customWidth="1"/>
    <col min="6180" max="6181" width="12" style="1" customWidth="1"/>
    <col min="6182" max="6182" width="9.6640625" style="1" customWidth="1"/>
    <col min="6183" max="6183" width="2.5" style="1" customWidth="1"/>
    <col min="6184" max="6418" width="9.33203125" style="1"/>
    <col min="6419" max="6419" width="2.6640625" style="1" customWidth="1"/>
    <col min="6420" max="6420" width="5" style="1" customWidth="1"/>
    <col min="6421" max="6421" width="43.1640625" style="1" customWidth="1"/>
    <col min="6422" max="6422" width="14.83203125" style="1" customWidth="1"/>
    <col min="6423" max="6423" width="9.33203125" style="1" customWidth="1"/>
    <col min="6424" max="6424" width="14.6640625" style="1" customWidth="1"/>
    <col min="6425" max="6425" width="11.33203125" style="1" customWidth="1"/>
    <col min="6426" max="6426" width="13.33203125" style="1" customWidth="1"/>
    <col min="6427" max="6427" width="9.6640625" style="1" customWidth="1"/>
    <col min="6428" max="6428" width="17.1640625" style="1" customWidth="1"/>
    <col min="6429" max="6429" width="8.83203125" style="1" customWidth="1"/>
    <col min="6430" max="6430" width="10.83203125" style="1" customWidth="1"/>
    <col min="6431" max="6431" width="11.6640625" style="1" customWidth="1"/>
    <col min="6432" max="6432" width="12.6640625" style="1" customWidth="1"/>
    <col min="6433" max="6433" width="13.33203125" style="1" customWidth="1"/>
    <col min="6434" max="6434" width="10.1640625" style="1" customWidth="1"/>
    <col min="6435" max="6435" width="11.5" style="1" customWidth="1"/>
    <col min="6436" max="6437" width="12" style="1" customWidth="1"/>
    <col min="6438" max="6438" width="9.6640625" style="1" customWidth="1"/>
    <col min="6439" max="6439" width="2.5" style="1" customWidth="1"/>
    <col min="6440" max="6674" width="9.33203125" style="1"/>
    <col min="6675" max="6675" width="2.6640625" style="1" customWidth="1"/>
    <col min="6676" max="6676" width="5" style="1" customWidth="1"/>
    <col min="6677" max="6677" width="43.1640625" style="1" customWidth="1"/>
    <col min="6678" max="6678" width="14.83203125" style="1" customWidth="1"/>
    <col min="6679" max="6679" width="9.33203125" style="1" customWidth="1"/>
    <col min="6680" max="6680" width="14.6640625" style="1" customWidth="1"/>
    <col min="6681" max="6681" width="11.33203125" style="1" customWidth="1"/>
    <col min="6682" max="6682" width="13.33203125" style="1" customWidth="1"/>
    <col min="6683" max="6683" width="9.6640625" style="1" customWidth="1"/>
    <col min="6684" max="6684" width="17.1640625" style="1" customWidth="1"/>
    <col min="6685" max="6685" width="8.83203125" style="1" customWidth="1"/>
    <col min="6686" max="6686" width="10.83203125" style="1" customWidth="1"/>
    <col min="6687" max="6687" width="11.6640625" style="1" customWidth="1"/>
    <col min="6688" max="6688" width="12.6640625" style="1" customWidth="1"/>
    <col min="6689" max="6689" width="13.33203125" style="1" customWidth="1"/>
    <col min="6690" max="6690" width="10.1640625" style="1" customWidth="1"/>
    <col min="6691" max="6691" width="11.5" style="1" customWidth="1"/>
    <col min="6692" max="6693" width="12" style="1" customWidth="1"/>
    <col min="6694" max="6694" width="9.6640625" style="1" customWidth="1"/>
    <col min="6695" max="6695" width="2.5" style="1" customWidth="1"/>
    <col min="6696" max="6930" width="9.33203125" style="1"/>
    <col min="6931" max="6931" width="2.6640625" style="1" customWidth="1"/>
    <col min="6932" max="6932" width="5" style="1" customWidth="1"/>
    <col min="6933" max="6933" width="43.1640625" style="1" customWidth="1"/>
    <col min="6934" max="6934" width="14.83203125" style="1" customWidth="1"/>
    <col min="6935" max="6935" width="9.33203125" style="1" customWidth="1"/>
    <col min="6936" max="6936" width="14.6640625" style="1" customWidth="1"/>
    <col min="6937" max="6937" width="11.33203125" style="1" customWidth="1"/>
    <col min="6938" max="6938" width="13.33203125" style="1" customWidth="1"/>
    <col min="6939" max="6939" width="9.6640625" style="1" customWidth="1"/>
    <col min="6940" max="6940" width="17.1640625" style="1" customWidth="1"/>
    <col min="6941" max="6941" width="8.83203125" style="1" customWidth="1"/>
    <col min="6942" max="6942" width="10.83203125" style="1" customWidth="1"/>
    <col min="6943" max="6943" width="11.6640625" style="1" customWidth="1"/>
    <col min="6944" max="6944" width="12.6640625" style="1" customWidth="1"/>
    <col min="6945" max="6945" width="13.33203125" style="1" customWidth="1"/>
    <col min="6946" max="6946" width="10.1640625" style="1" customWidth="1"/>
    <col min="6947" max="6947" width="11.5" style="1" customWidth="1"/>
    <col min="6948" max="6949" width="12" style="1" customWidth="1"/>
    <col min="6950" max="6950" width="9.6640625" style="1" customWidth="1"/>
    <col min="6951" max="6951" width="2.5" style="1" customWidth="1"/>
    <col min="6952" max="7186" width="9.33203125" style="1"/>
    <col min="7187" max="7187" width="2.6640625" style="1" customWidth="1"/>
    <col min="7188" max="7188" width="5" style="1" customWidth="1"/>
    <col min="7189" max="7189" width="43.1640625" style="1" customWidth="1"/>
    <col min="7190" max="7190" width="14.83203125" style="1" customWidth="1"/>
    <col min="7191" max="7191" width="9.33203125" style="1" customWidth="1"/>
    <col min="7192" max="7192" width="14.6640625" style="1" customWidth="1"/>
    <col min="7193" max="7193" width="11.33203125" style="1" customWidth="1"/>
    <col min="7194" max="7194" width="13.33203125" style="1" customWidth="1"/>
    <col min="7195" max="7195" width="9.6640625" style="1" customWidth="1"/>
    <col min="7196" max="7196" width="17.1640625" style="1" customWidth="1"/>
    <col min="7197" max="7197" width="8.83203125" style="1" customWidth="1"/>
    <col min="7198" max="7198" width="10.83203125" style="1" customWidth="1"/>
    <col min="7199" max="7199" width="11.6640625" style="1" customWidth="1"/>
    <col min="7200" max="7200" width="12.6640625" style="1" customWidth="1"/>
    <col min="7201" max="7201" width="13.33203125" style="1" customWidth="1"/>
    <col min="7202" max="7202" width="10.1640625" style="1" customWidth="1"/>
    <col min="7203" max="7203" width="11.5" style="1" customWidth="1"/>
    <col min="7204" max="7205" width="12" style="1" customWidth="1"/>
    <col min="7206" max="7206" width="9.6640625" style="1" customWidth="1"/>
    <col min="7207" max="7207" width="2.5" style="1" customWidth="1"/>
    <col min="7208" max="7442" width="9.33203125" style="1"/>
    <col min="7443" max="7443" width="2.6640625" style="1" customWidth="1"/>
    <col min="7444" max="7444" width="5" style="1" customWidth="1"/>
    <col min="7445" max="7445" width="43.1640625" style="1" customWidth="1"/>
    <col min="7446" max="7446" width="14.83203125" style="1" customWidth="1"/>
    <col min="7447" max="7447" width="9.33203125" style="1" customWidth="1"/>
    <col min="7448" max="7448" width="14.6640625" style="1" customWidth="1"/>
    <col min="7449" max="7449" width="11.33203125" style="1" customWidth="1"/>
    <col min="7450" max="7450" width="13.33203125" style="1" customWidth="1"/>
    <col min="7451" max="7451" width="9.6640625" style="1" customWidth="1"/>
    <col min="7452" max="7452" width="17.1640625" style="1" customWidth="1"/>
    <col min="7453" max="7453" width="8.83203125" style="1" customWidth="1"/>
    <col min="7454" max="7454" width="10.83203125" style="1" customWidth="1"/>
    <col min="7455" max="7455" width="11.6640625" style="1" customWidth="1"/>
    <col min="7456" max="7456" width="12.6640625" style="1" customWidth="1"/>
    <col min="7457" max="7457" width="13.33203125" style="1" customWidth="1"/>
    <col min="7458" max="7458" width="10.1640625" style="1" customWidth="1"/>
    <col min="7459" max="7459" width="11.5" style="1" customWidth="1"/>
    <col min="7460" max="7461" width="12" style="1" customWidth="1"/>
    <col min="7462" max="7462" width="9.6640625" style="1" customWidth="1"/>
    <col min="7463" max="7463" width="2.5" style="1" customWidth="1"/>
    <col min="7464" max="7698" width="9.33203125" style="1"/>
    <col min="7699" max="7699" width="2.6640625" style="1" customWidth="1"/>
    <col min="7700" max="7700" width="5" style="1" customWidth="1"/>
    <col min="7701" max="7701" width="43.1640625" style="1" customWidth="1"/>
    <col min="7702" max="7702" width="14.83203125" style="1" customWidth="1"/>
    <col min="7703" max="7703" width="9.33203125" style="1" customWidth="1"/>
    <col min="7704" max="7704" width="14.6640625" style="1" customWidth="1"/>
    <col min="7705" max="7705" width="11.33203125" style="1" customWidth="1"/>
    <col min="7706" max="7706" width="13.33203125" style="1" customWidth="1"/>
    <col min="7707" max="7707" width="9.6640625" style="1" customWidth="1"/>
    <col min="7708" max="7708" width="17.1640625" style="1" customWidth="1"/>
    <col min="7709" max="7709" width="8.83203125" style="1" customWidth="1"/>
    <col min="7710" max="7710" width="10.83203125" style="1" customWidth="1"/>
    <col min="7711" max="7711" width="11.6640625" style="1" customWidth="1"/>
    <col min="7712" max="7712" width="12.6640625" style="1" customWidth="1"/>
    <col min="7713" max="7713" width="13.33203125" style="1" customWidth="1"/>
    <col min="7714" max="7714" width="10.1640625" style="1" customWidth="1"/>
    <col min="7715" max="7715" width="11.5" style="1" customWidth="1"/>
    <col min="7716" max="7717" width="12" style="1" customWidth="1"/>
    <col min="7718" max="7718" width="9.6640625" style="1" customWidth="1"/>
    <col min="7719" max="7719" width="2.5" style="1" customWidth="1"/>
    <col min="7720" max="7954" width="9.33203125" style="1"/>
    <col min="7955" max="7955" width="2.6640625" style="1" customWidth="1"/>
    <col min="7956" max="7956" width="5" style="1" customWidth="1"/>
    <col min="7957" max="7957" width="43.1640625" style="1" customWidth="1"/>
    <col min="7958" max="7958" width="14.83203125" style="1" customWidth="1"/>
    <col min="7959" max="7959" width="9.33203125" style="1" customWidth="1"/>
    <col min="7960" max="7960" width="14.6640625" style="1" customWidth="1"/>
    <col min="7961" max="7961" width="11.33203125" style="1" customWidth="1"/>
    <col min="7962" max="7962" width="13.33203125" style="1" customWidth="1"/>
    <col min="7963" max="7963" width="9.6640625" style="1" customWidth="1"/>
    <col min="7964" max="7964" width="17.1640625" style="1" customWidth="1"/>
    <col min="7965" max="7965" width="8.83203125" style="1" customWidth="1"/>
    <col min="7966" max="7966" width="10.83203125" style="1" customWidth="1"/>
    <col min="7967" max="7967" width="11.6640625" style="1" customWidth="1"/>
    <col min="7968" max="7968" width="12.6640625" style="1" customWidth="1"/>
    <col min="7969" max="7969" width="13.33203125" style="1" customWidth="1"/>
    <col min="7970" max="7970" width="10.1640625" style="1" customWidth="1"/>
    <col min="7971" max="7971" width="11.5" style="1" customWidth="1"/>
    <col min="7972" max="7973" width="12" style="1" customWidth="1"/>
    <col min="7974" max="7974" width="9.6640625" style="1" customWidth="1"/>
    <col min="7975" max="7975" width="2.5" style="1" customWidth="1"/>
    <col min="7976" max="8210" width="9.33203125" style="1"/>
    <col min="8211" max="8211" width="2.6640625" style="1" customWidth="1"/>
    <col min="8212" max="8212" width="5" style="1" customWidth="1"/>
    <col min="8213" max="8213" width="43.1640625" style="1" customWidth="1"/>
    <col min="8214" max="8214" width="14.83203125" style="1" customWidth="1"/>
    <col min="8215" max="8215" width="9.33203125" style="1" customWidth="1"/>
    <col min="8216" max="8216" width="14.6640625" style="1" customWidth="1"/>
    <col min="8217" max="8217" width="11.33203125" style="1" customWidth="1"/>
    <col min="8218" max="8218" width="13.33203125" style="1" customWidth="1"/>
    <col min="8219" max="8219" width="9.6640625" style="1" customWidth="1"/>
    <col min="8220" max="8220" width="17.1640625" style="1" customWidth="1"/>
    <col min="8221" max="8221" width="8.83203125" style="1" customWidth="1"/>
    <col min="8222" max="8222" width="10.83203125" style="1" customWidth="1"/>
    <col min="8223" max="8223" width="11.6640625" style="1" customWidth="1"/>
    <col min="8224" max="8224" width="12.6640625" style="1" customWidth="1"/>
    <col min="8225" max="8225" width="13.33203125" style="1" customWidth="1"/>
    <col min="8226" max="8226" width="10.1640625" style="1" customWidth="1"/>
    <col min="8227" max="8227" width="11.5" style="1" customWidth="1"/>
    <col min="8228" max="8229" width="12" style="1" customWidth="1"/>
    <col min="8230" max="8230" width="9.6640625" style="1" customWidth="1"/>
    <col min="8231" max="8231" width="2.5" style="1" customWidth="1"/>
    <col min="8232" max="8466" width="9.33203125" style="1"/>
    <col min="8467" max="8467" width="2.6640625" style="1" customWidth="1"/>
    <col min="8468" max="8468" width="5" style="1" customWidth="1"/>
    <col min="8469" max="8469" width="43.1640625" style="1" customWidth="1"/>
    <col min="8470" max="8470" width="14.83203125" style="1" customWidth="1"/>
    <col min="8471" max="8471" width="9.33203125" style="1" customWidth="1"/>
    <col min="8472" max="8472" width="14.6640625" style="1" customWidth="1"/>
    <col min="8473" max="8473" width="11.33203125" style="1" customWidth="1"/>
    <col min="8474" max="8474" width="13.33203125" style="1" customWidth="1"/>
    <col min="8475" max="8475" width="9.6640625" style="1" customWidth="1"/>
    <col min="8476" max="8476" width="17.1640625" style="1" customWidth="1"/>
    <col min="8477" max="8477" width="8.83203125" style="1" customWidth="1"/>
    <col min="8478" max="8478" width="10.83203125" style="1" customWidth="1"/>
    <col min="8479" max="8479" width="11.6640625" style="1" customWidth="1"/>
    <col min="8480" max="8480" width="12.6640625" style="1" customWidth="1"/>
    <col min="8481" max="8481" width="13.33203125" style="1" customWidth="1"/>
    <col min="8482" max="8482" width="10.1640625" style="1" customWidth="1"/>
    <col min="8483" max="8483" width="11.5" style="1" customWidth="1"/>
    <col min="8484" max="8485" width="12" style="1" customWidth="1"/>
    <col min="8486" max="8486" width="9.6640625" style="1" customWidth="1"/>
    <col min="8487" max="8487" width="2.5" style="1" customWidth="1"/>
    <col min="8488" max="8722" width="9.33203125" style="1"/>
    <col min="8723" max="8723" width="2.6640625" style="1" customWidth="1"/>
    <col min="8724" max="8724" width="5" style="1" customWidth="1"/>
    <col min="8725" max="8725" width="43.1640625" style="1" customWidth="1"/>
    <col min="8726" max="8726" width="14.83203125" style="1" customWidth="1"/>
    <col min="8727" max="8727" width="9.33203125" style="1" customWidth="1"/>
    <col min="8728" max="8728" width="14.6640625" style="1" customWidth="1"/>
    <col min="8729" max="8729" width="11.33203125" style="1" customWidth="1"/>
    <col min="8730" max="8730" width="13.33203125" style="1" customWidth="1"/>
    <col min="8731" max="8731" width="9.6640625" style="1" customWidth="1"/>
    <col min="8732" max="8732" width="17.1640625" style="1" customWidth="1"/>
    <col min="8733" max="8733" width="8.83203125" style="1" customWidth="1"/>
    <col min="8734" max="8734" width="10.83203125" style="1" customWidth="1"/>
    <col min="8735" max="8735" width="11.6640625" style="1" customWidth="1"/>
    <col min="8736" max="8736" width="12.6640625" style="1" customWidth="1"/>
    <col min="8737" max="8737" width="13.33203125" style="1" customWidth="1"/>
    <col min="8738" max="8738" width="10.1640625" style="1" customWidth="1"/>
    <col min="8739" max="8739" width="11.5" style="1" customWidth="1"/>
    <col min="8740" max="8741" width="12" style="1" customWidth="1"/>
    <col min="8742" max="8742" width="9.6640625" style="1" customWidth="1"/>
    <col min="8743" max="8743" width="2.5" style="1" customWidth="1"/>
    <col min="8744" max="8978" width="9.33203125" style="1"/>
    <col min="8979" max="8979" width="2.6640625" style="1" customWidth="1"/>
    <col min="8980" max="8980" width="5" style="1" customWidth="1"/>
    <col min="8981" max="8981" width="43.1640625" style="1" customWidth="1"/>
    <col min="8982" max="8982" width="14.83203125" style="1" customWidth="1"/>
    <col min="8983" max="8983" width="9.33203125" style="1" customWidth="1"/>
    <col min="8984" max="8984" width="14.6640625" style="1" customWidth="1"/>
    <col min="8985" max="8985" width="11.33203125" style="1" customWidth="1"/>
    <col min="8986" max="8986" width="13.33203125" style="1" customWidth="1"/>
    <col min="8987" max="8987" width="9.6640625" style="1" customWidth="1"/>
    <col min="8988" max="8988" width="17.1640625" style="1" customWidth="1"/>
    <col min="8989" max="8989" width="8.83203125" style="1" customWidth="1"/>
    <col min="8990" max="8990" width="10.83203125" style="1" customWidth="1"/>
    <col min="8991" max="8991" width="11.6640625" style="1" customWidth="1"/>
    <col min="8992" max="8992" width="12.6640625" style="1" customWidth="1"/>
    <col min="8993" max="8993" width="13.33203125" style="1" customWidth="1"/>
    <col min="8994" max="8994" width="10.1640625" style="1" customWidth="1"/>
    <col min="8995" max="8995" width="11.5" style="1" customWidth="1"/>
    <col min="8996" max="8997" width="12" style="1" customWidth="1"/>
    <col min="8998" max="8998" width="9.6640625" style="1" customWidth="1"/>
    <col min="8999" max="8999" width="2.5" style="1" customWidth="1"/>
    <col min="9000" max="9234" width="9.33203125" style="1"/>
    <col min="9235" max="9235" width="2.6640625" style="1" customWidth="1"/>
    <col min="9236" max="9236" width="5" style="1" customWidth="1"/>
    <col min="9237" max="9237" width="43.1640625" style="1" customWidth="1"/>
    <col min="9238" max="9238" width="14.83203125" style="1" customWidth="1"/>
    <col min="9239" max="9239" width="9.33203125" style="1" customWidth="1"/>
    <col min="9240" max="9240" width="14.6640625" style="1" customWidth="1"/>
    <col min="9241" max="9241" width="11.33203125" style="1" customWidth="1"/>
    <col min="9242" max="9242" width="13.33203125" style="1" customWidth="1"/>
    <col min="9243" max="9243" width="9.6640625" style="1" customWidth="1"/>
    <col min="9244" max="9244" width="17.1640625" style="1" customWidth="1"/>
    <col min="9245" max="9245" width="8.83203125" style="1" customWidth="1"/>
    <col min="9246" max="9246" width="10.83203125" style="1" customWidth="1"/>
    <col min="9247" max="9247" width="11.6640625" style="1" customWidth="1"/>
    <col min="9248" max="9248" width="12.6640625" style="1" customWidth="1"/>
    <col min="9249" max="9249" width="13.33203125" style="1" customWidth="1"/>
    <col min="9250" max="9250" width="10.1640625" style="1" customWidth="1"/>
    <col min="9251" max="9251" width="11.5" style="1" customWidth="1"/>
    <col min="9252" max="9253" width="12" style="1" customWidth="1"/>
    <col min="9254" max="9254" width="9.6640625" style="1" customWidth="1"/>
    <col min="9255" max="9255" width="2.5" style="1" customWidth="1"/>
    <col min="9256" max="9490" width="9.33203125" style="1"/>
    <col min="9491" max="9491" width="2.6640625" style="1" customWidth="1"/>
    <col min="9492" max="9492" width="5" style="1" customWidth="1"/>
    <col min="9493" max="9493" width="43.1640625" style="1" customWidth="1"/>
    <col min="9494" max="9494" width="14.83203125" style="1" customWidth="1"/>
    <col min="9495" max="9495" width="9.33203125" style="1" customWidth="1"/>
    <col min="9496" max="9496" width="14.6640625" style="1" customWidth="1"/>
    <col min="9497" max="9497" width="11.33203125" style="1" customWidth="1"/>
    <col min="9498" max="9498" width="13.33203125" style="1" customWidth="1"/>
    <col min="9499" max="9499" width="9.6640625" style="1" customWidth="1"/>
    <col min="9500" max="9500" width="17.1640625" style="1" customWidth="1"/>
    <col min="9501" max="9501" width="8.83203125" style="1" customWidth="1"/>
    <col min="9502" max="9502" width="10.83203125" style="1" customWidth="1"/>
    <col min="9503" max="9503" width="11.6640625" style="1" customWidth="1"/>
    <col min="9504" max="9504" width="12.6640625" style="1" customWidth="1"/>
    <col min="9505" max="9505" width="13.33203125" style="1" customWidth="1"/>
    <col min="9506" max="9506" width="10.1640625" style="1" customWidth="1"/>
    <col min="9507" max="9507" width="11.5" style="1" customWidth="1"/>
    <col min="9508" max="9509" width="12" style="1" customWidth="1"/>
    <col min="9510" max="9510" width="9.6640625" style="1" customWidth="1"/>
    <col min="9511" max="9511" width="2.5" style="1" customWidth="1"/>
    <col min="9512" max="9746" width="9.33203125" style="1"/>
    <col min="9747" max="9747" width="2.6640625" style="1" customWidth="1"/>
    <col min="9748" max="9748" width="5" style="1" customWidth="1"/>
    <col min="9749" max="9749" width="43.1640625" style="1" customWidth="1"/>
    <col min="9750" max="9750" width="14.83203125" style="1" customWidth="1"/>
    <col min="9751" max="9751" width="9.33203125" style="1" customWidth="1"/>
    <col min="9752" max="9752" width="14.6640625" style="1" customWidth="1"/>
    <col min="9753" max="9753" width="11.33203125" style="1" customWidth="1"/>
    <col min="9754" max="9754" width="13.33203125" style="1" customWidth="1"/>
    <col min="9755" max="9755" width="9.6640625" style="1" customWidth="1"/>
    <col min="9756" max="9756" width="17.1640625" style="1" customWidth="1"/>
    <col min="9757" max="9757" width="8.83203125" style="1" customWidth="1"/>
    <col min="9758" max="9758" width="10.83203125" style="1" customWidth="1"/>
    <col min="9759" max="9759" width="11.6640625" style="1" customWidth="1"/>
    <col min="9760" max="9760" width="12.6640625" style="1" customWidth="1"/>
    <col min="9761" max="9761" width="13.33203125" style="1" customWidth="1"/>
    <col min="9762" max="9762" width="10.1640625" style="1" customWidth="1"/>
    <col min="9763" max="9763" width="11.5" style="1" customWidth="1"/>
    <col min="9764" max="9765" width="12" style="1" customWidth="1"/>
    <col min="9766" max="9766" width="9.6640625" style="1" customWidth="1"/>
    <col min="9767" max="9767" width="2.5" style="1" customWidth="1"/>
    <col min="9768" max="10002" width="9.33203125" style="1"/>
    <col min="10003" max="10003" width="2.6640625" style="1" customWidth="1"/>
    <col min="10004" max="10004" width="5" style="1" customWidth="1"/>
    <col min="10005" max="10005" width="43.1640625" style="1" customWidth="1"/>
    <col min="10006" max="10006" width="14.83203125" style="1" customWidth="1"/>
    <col min="10007" max="10007" width="9.33203125" style="1" customWidth="1"/>
    <col min="10008" max="10008" width="14.6640625" style="1" customWidth="1"/>
    <col min="10009" max="10009" width="11.33203125" style="1" customWidth="1"/>
    <col min="10010" max="10010" width="13.33203125" style="1" customWidth="1"/>
    <col min="10011" max="10011" width="9.6640625" style="1" customWidth="1"/>
    <col min="10012" max="10012" width="17.1640625" style="1" customWidth="1"/>
    <col min="10013" max="10013" width="8.83203125" style="1" customWidth="1"/>
    <col min="10014" max="10014" width="10.83203125" style="1" customWidth="1"/>
    <col min="10015" max="10015" width="11.6640625" style="1" customWidth="1"/>
    <col min="10016" max="10016" width="12.6640625" style="1" customWidth="1"/>
    <col min="10017" max="10017" width="13.33203125" style="1" customWidth="1"/>
    <col min="10018" max="10018" width="10.1640625" style="1" customWidth="1"/>
    <col min="10019" max="10019" width="11.5" style="1" customWidth="1"/>
    <col min="10020" max="10021" width="12" style="1" customWidth="1"/>
    <col min="10022" max="10022" width="9.6640625" style="1" customWidth="1"/>
    <col min="10023" max="10023" width="2.5" style="1" customWidth="1"/>
    <col min="10024" max="10258" width="9.33203125" style="1"/>
    <col min="10259" max="10259" width="2.6640625" style="1" customWidth="1"/>
    <col min="10260" max="10260" width="5" style="1" customWidth="1"/>
    <col min="10261" max="10261" width="43.1640625" style="1" customWidth="1"/>
    <col min="10262" max="10262" width="14.83203125" style="1" customWidth="1"/>
    <col min="10263" max="10263" width="9.33203125" style="1" customWidth="1"/>
    <col min="10264" max="10264" width="14.6640625" style="1" customWidth="1"/>
    <col min="10265" max="10265" width="11.33203125" style="1" customWidth="1"/>
    <col min="10266" max="10266" width="13.33203125" style="1" customWidth="1"/>
    <col min="10267" max="10267" width="9.6640625" style="1" customWidth="1"/>
    <col min="10268" max="10268" width="17.1640625" style="1" customWidth="1"/>
    <col min="10269" max="10269" width="8.83203125" style="1" customWidth="1"/>
    <col min="10270" max="10270" width="10.83203125" style="1" customWidth="1"/>
    <col min="10271" max="10271" width="11.6640625" style="1" customWidth="1"/>
    <col min="10272" max="10272" width="12.6640625" style="1" customWidth="1"/>
    <col min="10273" max="10273" width="13.33203125" style="1" customWidth="1"/>
    <col min="10274" max="10274" width="10.1640625" style="1" customWidth="1"/>
    <col min="10275" max="10275" width="11.5" style="1" customWidth="1"/>
    <col min="10276" max="10277" width="12" style="1" customWidth="1"/>
    <col min="10278" max="10278" width="9.6640625" style="1" customWidth="1"/>
    <col min="10279" max="10279" width="2.5" style="1" customWidth="1"/>
    <col min="10280" max="10514" width="9.33203125" style="1"/>
    <col min="10515" max="10515" width="2.6640625" style="1" customWidth="1"/>
    <col min="10516" max="10516" width="5" style="1" customWidth="1"/>
    <col min="10517" max="10517" width="43.1640625" style="1" customWidth="1"/>
    <col min="10518" max="10518" width="14.83203125" style="1" customWidth="1"/>
    <col min="10519" max="10519" width="9.33203125" style="1" customWidth="1"/>
    <col min="10520" max="10520" width="14.6640625" style="1" customWidth="1"/>
    <col min="10521" max="10521" width="11.33203125" style="1" customWidth="1"/>
    <col min="10522" max="10522" width="13.33203125" style="1" customWidth="1"/>
    <col min="10523" max="10523" width="9.6640625" style="1" customWidth="1"/>
    <col min="10524" max="10524" width="17.1640625" style="1" customWidth="1"/>
    <col min="10525" max="10525" width="8.83203125" style="1" customWidth="1"/>
    <col min="10526" max="10526" width="10.83203125" style="1" customWidth="1"/>
    <col min="10527" max="10527" width="11.6640625" style="1" customWidth="1"/>
    <col min="10528" max="10528" width="12.6640625" style="1" customWidth="1"/>
    <col min="10529" max="10529" width="13.33203125" style="1" customWidth="1"/>
    <col min="10530" max="10530" width="10.1640625" style="1" customWidth="1"/>
    <col min="10531" max="10531" width="11.5" style="1" customWidth="1"/>
    <col min="10532" max="10533" width="12" style="1" customWidth="1"/>
    <col min="10534" max="10534" width="9.6640625" style="1" customWidth="1"/>
    <col min="10535" max="10535" width="2.5" style="1" customWidth="1"/>
    <col min="10536" max="10770" width="9.33203125" style="1"/>
    <col min="10771" max="10771" width="2.6640625" style="1" customWidth="1"/>
    <col min="10772" max="10772" width="5" style="1" customWidth="1"/>
    <col min="10773" max="10773" width="43.1640625" style="1" customWidth="1"/>
    <col min="10774" max="10774" width="14.83203125" style="1" customWidth="1"/>
    <col min="10775" max="10775" width="9.33203125" style="1" customWidth="1"/>
    <col min="10776" max="10776" width="14.6640625" style="1" customWidth="1"/>
    <col min="10777" max="10777" width="11.33203125" style="1" customWidth="1"/>
    <col min="10778" max="10778" width="13.33203125" style="1" customWidth="1"/>
    <col min="10779" max="10779" width="9.6640625" style="1" customWidth="1"/>
    <col min="10780" max="10780" width="17.1640625" style="1" customWidth="1"/>
    <col min="10781" max="10781" width="8.83203125" style="1" customWidth="1"/>
    <col min="10782" max="10782" width="10.83203125" style="1" customWidth="1"/>
    <col min="10783" max="10783" width="11.6640625" style="1" customWidth="1"/>
    <col min="10784" max="10784" width="12.6640625" style="1" customWidth="1"/>
    <col min="10785" max="10785" width="13.33203125" style="1" customWidth="1"/>
    <col min="10786" max="10786" width="10.1640625" style="1" customWidth="1"/>
    <col min="10787" max="10787" width="11.5" style="1" customWidth="1"/>
    <col min="10788" max="10789" width="12" style="1" customWidth="1"/>
    <col min="10790" max="10790" width="9.6640625" style="1" customWidth="1"/>
    <col min="10791" max="10791" width="2.5" style="1" customWidth="1"/>
    <col min="10792" max="11026" width="9.33203125" style="1"/>
    <col min="11027" max="11027" width="2.6640625" style="1" customWidth="1"/>
    <col min="11028" max="11028" width="5" style="1" customWidth="1"/>
    <col min="11029" max="11029" width="43.1640625" style="1" customWidth="1"/>
    <col min="11030" max="11030" width="14.83203125" style="1" customWidth="1"/>
    <col min="11031" max="11031" width="9.33203125" style="1" customWidth="1"/>
    <col min="11032" max="11032" width="14.6640625" style="1" customWidth="1"/>
    <col min="11033" max="11033" width="11.33203125" style="1" customWidth="1"/>
    <col min="11034" max="11034" width="13.33203125" style="1" customWidth="1"/>
    <col min="11035" max="11035" width="9.6640625" style="1" customWidth="1"/>
    <col min="11036" max="11036" width="17.1640625" style="1" customWidth="1"/>
    <col min="11037" max="11037" width="8.83203125" style="1" customWidth="1"/>
    <col min="11038" max="11038" width="10.83203125" style="1" customWidth="1"/>
    <col min="11039" max="11039" width="11.6640625" style="1" customWidth="1"/>
    <col min="11040" max="11040" width="12.6640625" style="1" customWidth="1"/>
    <col min="11041" max="11041" width="13.33203125" style="1" customWidth="1"/>
    <col min="11042" max="11042" width="10.1640625" style="1" customWidth="1"/>
    <col min="11043" max="11043" width="11.5" style="1" customWidth="1"/>
    <col min="11044" max="11045" width="12" style="1" customWidth="1"/>
    <col min="11046" max="11046" width="9.6640625" style="1" customWidth="1"/>
    <col min="11047" max="11047" width="2.5" style="1" customWidth="1"/>
    <col min="11048" max="11282" width="9.33203125" style="1"/>
    <col min="11283" max="11283" width="2.6640625" style="1" customWidth="1"/>
    <col min="11284" max="11284" width="5" style="1" customWidth="1"/>
    <col min="11285" max="11285" width="43.1640625" style="1" customWidth="1"/>
    <col min="11286" max="11286" width="14.83203125" style="1" customWidth="1"/>
    <col min="11287" max="11287" width="9.33203125" style="1" customWidth="1"/>
    <col min="11288" max="11288" width="14.6640625" style="1" customWidth="1"/>
    <col min="11289" max="11289" width="11.33203125" style="1" customWidth="1"/>
    <col min="11290" max="11290" width="13.33203125" style="1" customWidth="1"/>
    <col min="11291" max="11291" width="9.6640625" style="1" customWidth="1"/>
    <col min="11292" max="11292" width="17.1640625" style="1" customWidth="1"/>
    <col min="11293" max="11293" width="8.83203125" style="1" customWidth="1"/>
    <col min="11294" max="11294" width="10.83203125" style="1" customWidth="1"/>
    <col min="11295" max="11295" width="11.6640625" style="1" customWidth="1"/>
    <col min="11296" max="11296" width="12.6640625" style="1" customWidth="1"/>
    <col min="11297" max="11297" width="13.33203125" style="1" customWidth="1"/>
    <col min="11298" max="11298" width="10.1640625" style="1" customWidth="1"/>
    <col min="11299" max="11299" width="11.5" style="1" customWidth="1"/>
    <col min="11300" max="11301" width="12" style="1" customWidth="1"/>
    <col min="11302" max="11302" width="9.6640625" style="1" customWidth="1"/>
    <col min="11303" max="11303" width="2.5" style="1" customWidth="1"/>
    <col min="11304" max="11538" width="9.33203125" style="1"/>
    <col min="11539" max="11539" width="2.6640625" style="1" customWidth="1"/>
    <col min="11540" max="11540" width="5" style="1" customWidth="1"/>
    <col min="11541" max="11541" width="43.1640625" style="1" customWidth="1"/>
    <col min="11542" max="11542" width="14.83203125" style="1" customWidth="1"/>
    <col min="11543" max="11543" width="9.33203125" style="1" customWidth="1"/>
    <col min="11544" max="11544" width="14.6640625" style="1" customWidth="1"/>
    <col min="11545" max="11545" width="11.33203125" style="1" customWidth="1"/>
    <col min="11546" max="11546" width="13.33203125" style="1" customWidth="1"/>
    <col min="11547" max="11547" width="9.6640625" style="1" customWidth="1"/>
    <col min="11548" max="11548" width="17.1640625" style="1" customWidth="1"/>
    <col min="11549" max="11549" width="8.83203125" style="1" customWidth="1"/>
    <col min="11550" max="11550" width="10.83203125" style="1" customWidth="1"/>
    <col min="11551" max="11551" width="11.6640625" style="1" customWidth="1"/>
    <col min="11552" max="11552" width="12.6640625" style="1" customWidth="1"/>
    <col min="11553" max="11553" width="13.33203125" style="1" customWidth="1"/>
    <col min="11554" max="11554" width="10.1640625" style="1" customWidth="1"/>
    <col min="11555" max="11555" width="11.5" style="1" customWidth="1"/>
    <col min="11556" max="11557" width="12" style="1" customWidth="1"/>
    <col min="11558" max="11558" width="9.6640625" style="1" customWidth="1"/>
    <col min="11559" max="11559" width="2.5" style="1" customWidth="1"/>
    <col min="11560" max="11794" width="9.33203125" style="1"/>
    <col min="11795" max="11795" width="2.6640625" style="1" customWidth="1"/>
    <col min="11796" max="11796" width="5" style="1" customWidth="1"/>
    <col min="11797" max="11797" width="43.1640625" style="1" customWidth="1"/>
    <col min="11798" max="11798" width="14.83203125" style="1" customWidth="1"/>
    <col min="11799" max="11799" width="9.33203125" style="1" customWidth="1"/>
    <col min="11800" max="11800" width="14.6640625" style="1" customWidth="1"/>
    <col min="11801" max="11801" width="11.33203125" style="1" customWidth="1"/>
    <col min="11802" max="11802" width="13.33203125" style="1" customWidth="1"/>
    <col min="11803" max="11803" width="9.6640625" style="1" customWidth="1"/>
    <col min="11804" max="11804" width="17.1640625" style="1" customWidth="1"/>
    <col min="11805" max="11805" width="8.83203125" style="1" customWidth="1"/>
    <col min="11806" max="11806" width="10.83203125" style="1" customWidth="1"/>
    <col min="11807" max="11807" width="11.6640625" style="1" customWidth="1"/>
    <col min="11808" max="11808" width="12.6640625" style="1" customWidth="1"/>
    <col min="11809" max="11809" width="13.33203125" style="1" customWidth="1"/>
    <col min="11810" max="11810" width="10.1640625" style="1" customWidth="1"/>
    <col min="11811" max="11811" width="11.5" style="1" customWidth="1"/>
    <col min="11812" max="11813" width="12" style="1" customWidth="1"/>
    <col min="11814" max="11814" width="9.6640625" style="1" customWidth="1"/>
    <col min="11815" max="11815" width="2.5" style="1" customWidth="1"/>
    <col min="11816" max="12050" width="9.33203125" style="1"/>
    <col min="12051" max="12051" width="2.6640625" style="1" customWidth="1"/>
    <col min="12052" max="12052" width="5" style="1" customWidth="1"/>
    <col min="12053" max="12053" width="43.1640625" style="1" customWidth="1"/>
    <col min="12054" max="12054" width="14.83203125" style="1" customWidth="1"/>
    <col min="12055" max="12055" width="9.33203125" style="1" customWidth="1"/>
    <col min="12056" max="12056" width="14.6640625" style="1" customWidth="1"/>
    <col min="12057" max="12057" width="11.33203125" style="1" customWidth="1"/>
    <col min="12058" max="12058" width="13.33203125" style="1" customWidth="1"/>
    <col min="12059" max="12059" width="9.6640625" style="1" customWidth="1"/>
    <col min="12060" max="12060" width="17.1640625" style="1" customWidth="1"/>
    <col min="12061" max="12061" width="8.83203125" style="1" customWidth="1"/>
    <col min="12062" max="12062" width="10.83203125" style="1" customWidth="1"/>
    <col min="12063" max="12063" width="11.6640625" style="1" customWidth="1"/>
    <col min="12064" max="12064" width="12.6640625" style="1" customWidth="1"/>
    <col min="12065" max="12065" width="13.33203125" style="1" customWidth="1"/>
    <col min="12066" max="12066" width="10.1640625" style="1" customWidth="1"/>
    <col min="12067" max="12067" width="11.5" style="1" customWidth="1"/>
    <col min="12068" max="12069" width="12" style="1" customWidth="1"/>
    <col min="12070" max="12070" width="9.6640625" style="1" customWidth="1"/>
    <col min="12071" max="12071" width="2.5" style="1" customWidth="1"/>
    <col min="12072" max="12306" width="9.33203125" style="1"/>
    <col min="12307" max="12307" width="2.6640625" style="1" customWidth="1"/>
    <col min="12308" max="12308" width="5" style="1" customWidth="1"/>
    <col min="12309" max="12309" width="43.1640625" style="1" customWidth="1"/>
    <col min="12310" max="12310" width="14.83203125" style="1" customWidth="1"/>
    <col min="12311" max="12311" width="9.33203125" style="1" customWidth="1"/>
    <col min="12312" max="12312" width="14.6640625" style="1" customWidth="1"/>
    <col min="12313" max="12313" width="11.33203125" style="1" customWidth="1"/>
    <col min="12314" max="12314" width="13.33203125" style="1" customWidth="1"/>
    <col min="12315" max="12315" width="9.6640625" style="1" customWidth="1"/>
    <col min="12316" max="12316" width="17.1640625" style="1" customWidth="1"/>
    <col min="12317" max="12317" width="8.83203125" style="1" customWidth="1"/>
    <col min="12318" max="12318" width="10.83203125" style="1" customWidth="1"/>
    <col min="12319" max="12319" width="11.6640625" style="1" customWidth="1"/>
    <col min="12320" max="12320" width="12.6640625" style="1" customWidth="1"/>
    <col min="12321" max="12321" width="13.33203125" style="1" customWidth="1"/>
    <col min="12322" max="12322" width="10.1640625" style="1" customWidth="1"/>
    <col min="12323" max="12323" width="11.5" style="1" customWidth="1"/>
    <col min="12324" max="12325" width="12" style="1" customWidth="1"/>
    <col min="12326" max="12326" width="9.6640625" style="1" customWidth="1"/>
    <col min="12327" max="12327" width="2.5" style="1" customWidth="1"/>
    <col min="12328" max="12562" width="9.33203125" style="1"/>
    <col min="12563" max="12563" width="2.6640625" style="1" customWidth="1"/>
    <col min="12564" max="12564" width="5" style="1" customWidth="1"/>
    <col min="12565" max="12565" width="43.1640625" style="1" customWidth="1"/>
    <col min="12566" max="12566" width="14.83203125" style="1" customWidth="1"/>
    <col min="12567" max="12567" width="9.33203125" style="1" customWidth="1"/>
    <col min="12568" max="12568" width="14.6640625" style="1" customWidth="1"/>
    <col min="12569" max="12569" width="11.33203125" style="1" customWidth="1"/>
    <col min="12570" max="12570" width="13.33203125" style="1" customWidth="1"/>
    <col min="12571" max="12571" width="9.6640625" style="1" customWidth="1"/>
    <col min="12572" max="12572" width="17.1640625" style="1" customWidth="1"/>
    <col min="12573" max="12573" width="8.83203125" style="1" customWidth="1"/>
    <col min="12574" max="12574" width="10.83203125" style="1" customWidth="1"/>
    <col min="12575" max="12575" width="11.6640625" style="1" customWidth="1"/>
    <col min="12576" max="12576" width="12.6640625" style="1" customWidth="1"/>
    <col min="12577" max="12577" width="13.33203125" style="1" customWidth="1"/>
    <col min="12578" max="12578" width="10.1640625" style="1" customWidth="1"/>
    <col min="12579" max="12579" width="11.5" style="1" customWidth="1"/>
    <col min="12580" max="12581" width="12" style="1" customWidth="1"/>
    <col min="12582" max="12582" width="9.6640625" style="1" customWidth="1"/>
    <col min="12583" max="12583" width="2.5" style="1" customWidth="1"/>
    <col min="12584" max="12818" width="9.33203125" style="1"/>
    <col min="12819" max="12819" width="2.6640625" style="1" customWidth="1"/>
    <col min="12820" max="12820" width="5" style="1" customWidth="1"/>
    <col min="12821" max="12821" width="43.1640625" style="1" customWidth="1"/>
    <col min="12822" max="12822" width="14.83203125" style="1" customWidth="1"/>
    <col min="12823" max="12823" width="9.33203125" style="1" customWidth="1"/>
    <col min="12824" max="12824" width="14.6640625" style="1" customWidth="1"/>
    <col min="12825" max="12825" width="11.33203125" style="1" customWidth="1"/>
    <col min="12826" max="12826" width="13.33203125" style="1" customWidth="1"/>
    <col min="12827" max="12827" width="9.6640625" style="1" customWidth="1"/>
    <col min="12828" max="12828" width="17.1640625" style="1" customWidth="1"/>
    <col min="12829" max="12829" width="8.83203125" style="1" customWidth="1"/>
    <col min="12830" max="12830" width="10.83203125" style="1" customWidth="1"/>
    <col min="12831" max="12831" width="11.6640625" style="1" customWidth="1"/>
    <col min="12832" max="12832" width="12.6640625" style="1" customWidth="1"/>
    <col min="12833" max="12833" width="13.33203125" style="1" customWidth="1"/>
    <col min="12834" max="12834" width="10.1640625" style="1" customWidth="1"/>
    <col min="12835" max="12835" width="11.5" style="1" customWidth="1"/>
    <col min="12836" max="12837" width="12" style="1" customWidth="1"/>
    <col min="12838" max="12838" width="9.6640625" style="1" customWidth="1"/>
    <col min="12839" max="12839" width="2.5" style="1" customWidth="1"/>
    <col min="12840" max="13074" width="9.33203125" style="1"/>
    <col min="13075" max="13075" width="2.6640625" style="1" customWidth="1"/>
    <col min="13076" max="13076" width="5" style="1" customWidth="1"/>
    <col min="13077" max="13077" width="43.1640625" style="1" customWidth="1"/>
    <col min="13078" max="13078" width="14.83203125" style="1" customWidth="1"/>
    <col min="13079" max="13079" width="9.33203125" style="1" customWidth="1"/>
    <col min="13080" max="13080" width="14.6640625" style="1" customWidth="1"/>
    <col min="13081" max="13081" width="11.33203125" style="1" customWidth="1"/>
    <col min="13082" max="13082" width="13.33203125" style="1" customWidth="1"/>
    <col min="13083" max="13083" width="9.6640625" style="1" customWidth="1"/>
    <col min="13084" max="13084" width="17.1640625" style="1" customWidth="1"/>
    <col min="13085" max="13085" width="8.83203125" style="1" customWidth="1"/>
    <col min="13086" max="13086" width="10.83203125" style="1" customWidth="1"/>
    <col min="13087" max="13087" width="11.6640625" style="1" customWidth="1"/>
    <col min="13088" max="13088" width="12.6640625" style="1" customWidth="1"/>
    <col min="13089" max="13089" width="13.33203125" style="1" customWidth="1"/>
    <col min="13090" max="13090" width="10.1640625" style="1" customWidth="1"/>
    <col min="13091" max="13091" width="11.5" style="1" customWidth="1"/>
    <col min="13092" max="13093" width="12" style="1" customWidth="1"/>
    <col min="13094" max="13094" width="9.6640625" style="1" customWidth="1"/>
    <col min="13095" max="13095" width="2.5" style="1" customWidth="1"/>
    <col min="13096" max="13330" width="9.33203125" style="1"/>
    <col min="13331" max="13331" width="2.6640625" style="1" customWidth="1"/>
    <col min="13332" max="13332" width="5" style="1" customWidth="1"/>
    <col min="13333" max="13333" width="43.1640625" style="1" customWidth="1"/>
    <col min="13334" max="13334" width="14.83203125" style="1" customWidth="1"/>
    <col min="13335" max="13335" width="9.33203125" style="1" customWidth="1"/>
    <col min="13336" max="13336" width="14.6640625" style="1" customWidth="1"/>
    <col min="13337" max="13337" width="11.33203125" style="1" customWidth="1"/>
    <col min="13338" max="13338" width="13.33203125" style="1" customWidth="1"/>
    <col min="13339" max="13339" width="9.6640625" style="1" customWidth="1"/>
    <col min="13340" max="13340" width="17.1640625" style="1" customWidth="1"/>
    <col min="13341" max="13341" width="8.83203125" style="1" customWidth="1"/>
    <col min="13342" max="13342" width="10.83203125" style="1" customWidth="1"/>
    <col min="13343" max="13343" width="11.6640625" style="1" customWidth="1"/>
    <col min="13344" max="13344" width="12.6640625" style="1" customWidth="1"/>
    <col min="13345" max="13345" width="13.33203125" style="1" customWidth="1"/>
    <col min="13346" max="13346" width="10.1640625" style="1" customWidth="1"/>
    <col min="13347" max="13347" width="11.5" style="1" customWidth="1"/>
    <col min="13348" max="13349" width="12" style="1" customWidth="1"/>
    <col min="13350" max="13350" width="9.6640625" style="1" customWidth="1"/>
    <col min="13351" max="13351" width="2.5" style="1" customWidth="1"/>
    <col min="13352" max="13586" width="9.33203125" style="1"/>
    <col min="13587" max="13587" width="2.6640625" style="1" customWidth="1"/>
    <col min="13588" max="13588" width="5" style="1" customWidth="1"/>
    <col min="13589" max="13589" width="43.1640625" style="1" customWidth="1"/>
    <col min="13590" max="13590" width="14.83203125" style="1" customWidth="1"/>
    <col min="13591" max="13591" width="9.33203125" style="1" customWidth="1"/>
    <col min="13592" max="13592" width="14.6640625" style="1" customWidth="1"/>
    <col min="13593" max="13593" width="11.33203125" style="1" customWidth="1"/>
    <col min="13594" max="13594" width="13.33203125" style="1" customWidth="1"/>
    <col min="13595" max="13595" width="9.6640625" style="1" customWidth="1"/>
    <col min="13596" max="13596" width="17.1640625" style="1" customWidth="1"/>
    <col min="13597" max="13597" width="8.83203125" style="1" customWidth="1"/>
    <col min="13598" max="13598" width="10.83203125" style="1" customWidth="1"/>
    <col min="13599" max="13599" width="11.6640625" style="1" customWidth="1"/>
    <col min="13600" max="13600" width="12.6640625" style="1" customWidth="1"/>
    <col min="13601" max="13601" width="13.33203125" style="1" customWidth="1"/>
    <col min="13602" max="13602" width="10.1640625" style="1" customWidth="1"/>
    <col min="13603" max="13603" width="11.5" style="1" customWidth="1"/>
    <col min="13604" max="13605" width="12" style="1" customWidth="1"/>
    <col min="13606" max="13606" width="9.6640625" style="1" customWidth="1"/>
    <col min="13607" max="13607" width="2.5" style="1" customWidth="1"/>
    <col min="13608" max="13842" width="9.33203125" style="1"/>
    <col min="13843" max="13843" width="2.6640625" style="1" customWidth="1"/>
    <col min="13844" max="13844" width="5" style="1" customWidth="1"/>
    <col min="13845" max="13845" width="43.1640625" style="1" customWidth="1"/>
    <col min="13846" max="13846" width="14.83203125" style="1" customWidth="1"/>
    <col min="13847" max="13847" width="9.33203125" style="1" customWidth="1"/>
    <col min="13848" max="13848" width="14.6640625" style="1" customWidth="1"/>
    <col min="13849" max="13849" width="11.33203125" style="1" customWidth="1"/>
    <col min="13850" max="13850" width="13.33203125" style="1" customWidth="1"/>
    <col min="13851" max="13851" width="9.6640625" style="1" customWidth="1"/>
    <col min="13852" max="13852" width="17.1640625" style="1" customWidth="1"/>
    <col min="13853" max="13853" width="8.83203125" style="1" customWidth="1"/>
    <col min="13854" max="13854" width="10.83203125" style="1" customWidth="1"/>
    <col min="13855" max="13855" width="11.6640625" style="1" customWidth="1"/>
    <col min="13856" max="13856" width="12.6640625" style="1" customWidth="1"/>
    <col min="13857" max="13857" width="13.33203125" style="1" customWidth="1"/>
    <col min="13858" max="13858" width="10.1640625" style="1" customWidth="1"/>
    <col min="13859" max="13859" width="11.5" style="1" customWidth="1"/>
    <col min="13860" max="13861" width="12" style="1" customWidth="1"/>
    <col min="13862" max="13862" width="9.6640625" style="1" customWidth="1"/>
    <col min="13863" max="13863" width="2.5" style="1" customWidth="1"/>
    <col min="13864" max="14098" width="9.33203125" style="1"/>
    <col min="14099" max="14099" width="2.6640625" style="1" customWidth="1"/>
    <col min="14100" max="14100" width="5" style="1" customWidth="1"/>
    <col min="14101" max="14101" width="43.1640625" style="1" customWidth="1"/>
    <col min="14102" max="14102" width="14.83203125" style="1" customWidth="1"/>
    <col min="14103" max="14103" width="9.33203125" style="1" customWidth="1"/>
    <col min="14104" max="14104" width="14.6640625" style="1" customWidth="1"/>
    <col min="14105" max="14105" width="11.33203125" style="1" customWidth="1"/>
    <col min="14106" max="14106" width="13.33203125" style="1" customWidth="1"/>
    <col min="14107" max="14107" width="9.6640625" style="1" customWidth="1"/>
    <col min="14108" max="14108" width="17.1640625" style="1" customWidth="1"/>
    <col min="14109" max="14109" width="8.83203125" style="1" customWidth="1"/>
    <col min="14110" max="14110" width="10.83203125" style="1" customWidth="1"/>
    <col min="14111" max="14111" width="11.6640625" style="1" customWidth="1"/>
    <col min="14112" max="14112" width="12.6640625" style="1" customWidth="1"/>
    <col min="14113" max="14113" width="13.33203125" style="1" customWidth="1"/>
    <col min="14114" max="14114" width="10.1640625" style="1" customWidth="1"/>
    <col min="14115" max="14115" width="11.5" style="1" customWidth="1"/>
    <col min="14116" max="14117" width="12" style="1" customWidth="1"/>
    <col min="14118" max="14118" width="9.6640625" style="1" customWidth="1"/>
    <col min="14119" max="14119" width="2.5" style="1" customWidth="1"/>
    <col min="14120" max="14354" width="9.33203125" style="1"/>
    <col min="14355" max="14355" width="2.6640625" style="1" customWidth="1"/>
    <col min="14356" max="14356" width="5" style="1" customWidth="1"/>
    <col min="14357" max="14357" width="43.1640625" style="1" customWidth="1"/>
    <col min="14358" max="14358" width="14.83203125" style="1" customWidth="1"/>
    <col min="14359" max="14359" width="9.33203125" style="1" customWidth="1"/>
    <col min="14360" max="14360" width="14.6640625" style="1" customWidth="1"/>
    <col min="14361" max="14361" width="11.33203125" style="1" customWidth="1"/>
    <col min="14362" max="14362" width="13.33203125" style="1" customWidth="1"/>
    <col min="14363" max="14363" width="9.6640625" style="1" customWidth="1"/>
    <col min="14364" max="14364" width="17.1640625" style="1" customWidth="1"/>
    <col min="14365" max="14365" width="8.83203125" style="1" customWidth="1"/>
    <col min="14366" max="14366" width="10.83203125" style="1" customWidth="1"/>
    <col min="14367" max="14367" width="11.6640625" style="1" customWidth="1"/>
    <col min="14368" max="14368" width="12.6640625" style="1" customWidth="1"/>
    <col min="14369" max="14369" width="13.33203125" style="1" customWidth="1"/>
    <col min="14370" max="14370" width="10.1640625" style="1" customWidth="1"/>
    <col min="14371" max="14371" width="11.5" style="1" customWidth="1"/>
    <col min="14372" max="14373" width="12" style="1" customWidth="1"/>
    <col min="14374" max="14374" width="9.6640625" style="1" customWidth="1"/>
    <col min="14375" max="14375" width="2.5" style="1" customWidth="1"/>
    <col min="14376" max="14610" width="9.33203125" style="1"/>
    <col min="14611" max="14611" width="2.6640625" style="1" customWidth="1"/>
    <col min="14612" max="14612" width="5" style="1" customWidth="1"/>
    <col min="14613" max="14613" width="43.1640625" style="1" customWidth="1"/>
    <col min="14614" max="14614" width="14.83203125" style="1" customWidth="1"/>
    <col min="14615" max="14615" width="9.33203125" style="1" customWidth="1"/>
    <col min="14616" max="14616" width="14.6640625" style="1" customWidth="1"/>
    <col min="14617" max="14617" width="11.33203125" style="1" customWidth="1"/>
    <col min="14618" max="14618" width="13.33203125" style="1" customWidth="1"/>
    <col min="14619" max="14619" width="9.6640625" style="1" customWidth="1"/>
    <col min="14620" max="14620" width="17.1640625" style="1" customWidth="1"/>
    <col min="14621" max="14621" width="8.83203125" style="1" customWidth="1"/>
    <col min="14622" max="14622" width="10.83203125" style="1" customWidth="1"/>
    <col min="14623" max="14623" width="11.6640625" style="1" customWidth="1"/>
    <col min="14624" max="14624" width="12.6640625" style="1" customWidth="1"/>
    <col min="14625" max="14625" width="13.33203125" style="1" customWidth="1"/>
    <col min="14626" max="14626" width="10.1640625" style="1" customWidth="1"/>
    <col min="14627" max="14627" width="11.5" style="1" customWidth="1"/>
    <col min="14628" max="14629" width="12" style="1" customWidth="1"/>
    <col min="14630" max="14630" width="9.6640625" style="1" customWidth="1"/>
    <col min="14631" max="14631" width="2.5" style="1" customWidth="1"/>
    <col min="14632" max="14866" width="9.33203125" style="1"/>
    <col min="14867" max="14867" width="2.6640625" style="1" customWidth="1"/>
    <col min="14868" max="14868" width="5" style="1" customWidth="1"/>
    <col min="14869" max="14869" width="43.1640625" style="1" customWidth="1"/>
    <col min="14870" max="14870" width="14.83203125" style="1" customWidth="1"/>
    <col min="14871" max="14871" width="9.33203125" style="1" customWidth="1"/>
    <col min="14872" max="14872" width="14.6640625" style="1" customWidth="1"/>
    <col min="14873" max="14873" width="11.33203125" style="1" customWidth="1"/>
    <col min="14874" max="14874" width="13.33203125" style="1" customWidth="1"/>
    <col min="14875" max="14875" width="9.6640625" style="1" customWidth="1"/>
    <col min="14876" max="14876" width="17.1640625" style="1" customWidth="1"/>
    <col min="14877" max="14877" width="8.83203125" style="1" customWidth="1"/>
    <col min="14878" max="14878" width="10.83203125" style="1" customWidth="1"/>
    <col min="14879" max="14879" width="11.6640625" style="1" customWidth="1"/>
    <col min="14880" max="14880" width="12.6640625" style="1" customWidth="1"/>
    <col min="14881" max="14881" width="13.33203125" style="1" customWidth="1"/>
    <col min="14882" max="14882" width="10.1640625" style="1" customWidth="1"/>
    <col min="14883" max="14883" width="11.5" style="1" customWidth="1"/>
    <col min="14884" max="14885" width="12" style="1" customWidth="1"/>
    <col min="14886" max="14886" width="9.6640625" style="1" customWidth="1"/>
    <col min="14887" max="14887" width="2.5" style="1" customWidth="1"/>
    <col min="14888" max="15122" width="9.33203125" style="1"/>
    <col min="15123" max="15123" width="2.6640625" style="1" customWidth="1"/>
    <col min="15124" max="15124" width="5" style="1" customWidth="1"/>
    <col min="15125" max="15125" width="43.1640625" style="1" customWidth="1"/>
    <col min="15126" max="15126" width="14.83203125" style="1" customWidth="1"/>
    <col min="15127" max="15127" width="9.33203125" style="1" customWidth="1"/>
    <col min="15128" max="15128" width="14.6640625" style="1" customWidth="1"/>
    <col min="15129" max="15129" width="11.33203125" style="1" customWidth="1"/>
    <col min="15130" max="15130" width="13.33203125" style="1" customWidth="1"/>
    <col min="15131" max="15131" width="9.6640625" style="1" customWidth="1"/>
    <col min="15132" max="15132" width="17.1640625" style="1" customWidth="1"/>
    <col min="15133" max="15133" width="8.83203125" style="1" customWidth="1"/>
    <col min="15134" max="15134" width="10.83203125" style="1" customWidth="1"/>
    <col min="15135" max="15135" width="11.6640625" style="1" customWidth="1"/>
    <col min="15136" max="15136" width="12.6640625" style="1" customWidth="1"/>
    <col min="15137" max="15137" width="13.33203125" style="1" customWidth="1"/>
    <col min="15138" max="15138" width="10.1640625" style="1" customWidth="1"/>
    <col min="15139" max="15139" width="11.5" style="1" customWidth="1"/>
    <col min="15140" max="15141" width="12" style="1" customWidth="1"/>
    <col min="15142" max="15142" width="9.6640625" style="1" customWidth="1"/>
    <col min="15143" max="15143" width="2.5" style="1" customWidth="1"/>
    <col min="15144" max="15378" width="9.33203125" style="1"/>
    <col min="15379" max="15379" width="2.6640625" style="1" customWidth="1"/>
    <col min="15380" max="15380" width="5" style="1" customWidth="1"/>
    <col min="15381" max="15381" width="43.1640625" style="1" customWidth="1"/>
    <col min="15382" max="15382" width="14.83203125" style="1" customWidth="1"/>
    <col min="15383" max="15383" width="9.33203125" style="1" customWidth="1"/>
    <col min="15384" max="15384" width="14.6640625" style="1" customWidth="1"/>
    <col min="15385" max="15385" width="11.33203125" style="1" customWidth="1"/>
    <col min="15386" max="15386" width="13.33203125" style="1" customWidth="1"/>
    <col min="15387" max="15387" width="9.6640625" style="1" customWidth="1"/>
    <col min="15388" max="15388" width="17.1640625" style="1" customWidth="1"/>
    <col min="15389" max="15389" width="8.83203125" style="1" customWidth="1"/>
    <col min="15390" max="15390" width="10.83203125" style="1" customWidth="1"/>
    <col min="15391" max="15391" width="11.6640625" style="1" customWidth="1"/>
    <col min="15392" max="15392" width="12.6640625" style="1" customWidth="1"/>
    <col min="15393" max="15393" width="13.33203125" style="1" customWidth="1"/>
    <col min="15394" max="15394" width="10.1640625" style="1" customWidth="1"/>
    <col min="15395" max="15395" width="11.5" style="1" customWidth="1"/>
    <col min="15396" max="15397" width="12" style="1" customWidth="1"/>
    <col min="15398" max="15398" width="9.6640625" style="1" customWidth="1"/>
    <col min="15399" max="15399" width="2.5" style="1" customWidth="1"/>
    <col min="15400" max="15634" width="9.33203125" style="1"/>
    <col min="15635" max="15635" width="2.6640625" style="1" customWidth="1"/>
    <col min="15636" max="15636" width="5" style="1" customWidth="1"/>
    <col min="15637" max="15637" width="43.1640625" style="1" customWidth="1"/>
    <col min="15638" max="15638" width="14.83203125" style="1" customWidth="1"/>
    <col min="15639" max="15639" width="9.33203125" style="1" customWidth="1"/>
    <col min="15640" max="15640" width="14.6640625" style="1" customWidth="1"/>
    <col min="15641" max="15641" width="11.33203125" style="1" customWidth="1"/>
    <col min="15642" max="15642" width="13.33203125" style="1" customWidth="1"/>
    <col min="15643" max="15643" width="9.6640625" style="1" customWidth="1"/>
    <col min="15644" max="15644" width="17.1640625" style="1" customWidth="1"/>
    <col min="15645" max="15645" width="8.83203125" style="1" customWidth="1"/>
    <col min="15646" max="15646" width="10.83203125" style="1" customWidth="1"/>
    <col min="15647" max="15647" width="11.6640625" style="1" customWidth="1"/>
    <col min="15648" max="15648" width="12.6640625" style="1" customWidth="1"/>
    <col min="15649" max="15649" width="13.33203125" style="1" customWidth="1"/>
    <col min="15650" max="15650" width="10.1640625" style="1" customWidth="1"/>
    <col min="15651" max="15651" width="11.5" style="1" customWidth="1"/>
    <col min="15652" max="15653" width="12" style="1" customWidth="1"/>
    <col min="15654" max="15654" width="9.6640625" style="1" customWidth="1"/>
    <col min="15655" max="15655" width="2.5" style="1" customWidth="1"/>
    <col min="15656" max="15890" width="9.33203125" style="1"/>
    <col min="15891" max="15891" width="2.6640625" style="1" customWidth="1"/>
    <col min="15892" max="15892" width="5" style="1" customWidth="1"/>
    <col min="15893" max="15893" width="43.1640625" style="1" customWidth="1"/>
    <col min="15894" max="15894" width="14.83203125" style="1" customWidth="1"/>
    <col min="15895" max="15895" width="9.33203125" style="1" customWidth="1"/>
    <col min="15896" max="15896" width="14.6640625" style="1" customWidth="1"/>
    <col min="15897" max="15897" width="11.33203125" style="1" customWidth="1"/>
    <col min="15898" max="15898" width="13.33203125" style="1" customWidth="1"/>
    <col min="15899" max="15899" width="9.6640625" style="1" customWidth="1"/>
    <col min="15900" max="15900" width="17.1640625" style="1" customWidth="1"/>
    <col min="15901" max="15901" width="8.83203125" style="1" customWidth="1"/>
    <col min="15902" max="15902" width="10.83203125" style="1" customWidth="1"/>
    <col min="15903" max="15903" width="11.6640625" style="1" customWidth="1"/>
    <col min="15904" max="15904" width="12.6640625" style="1" customWidth="1"/>
    <col min="15905" max="15905" width="13.33203125" style="1" customWidth="1"/>
    <col min="15906" max="15906" width="10.1640625" style="1" customWidth="1"/>
    <col min="15907" max="15907" width="11.5" style="1" customWidth="1"/>
    <col min="15908" max="15909" width="12" style="1" customWidth="1"/>
    <col min="15910" max="15910" width="9.6640625" style="1" customWidth="1"/>
    <col min="15911" max="15911" width="2.5" style="1" customWidth="1"/>
    <col min="15912" max="16146" width="9.33203125" style="1"/>
    <col min="16147" max="16147" width="2.6640625" style="1" customWidth="1"/>
    <col min="16148" max="16148" width="5" style="1" customWidth="1"/>
    <col min="16149" max="16149" width="43.1640625" style="1" customWidth="1"/>
    <col min="16150" max="16150" width="14.83203125" style="1" customWidth="1"/>
    <col min="16151" max="16151" width="9.33203125" style="1" customWidth="1"/>
    <col min="16152" max="16152" width="14.6640625" style="1" customWidth="1"/>
    <col min="16153" max="16153" width="11.33203125" style="1" customWidth="1"/>
    <col min="16154" max="16154" width="13.33203125" style="1" customWidth="1"/>
    <col min="16155" max="16155" width="9.6640625" style="1" customWidth="1"/>
    <col min="16156" max="16156" width="17.1640625" style="1" customWidth="1"/>
    <col min="16157" max="16157" width="8.83203125" style="1" customWidth="1"/>
    <col min="16158" max="16158" width="10.83203125" style="1" customWidth="1"/>
    <col min="16159" max="16159" width="11.6640625" style="1" customWidth="1"/>
    <col min="16160" max="16160" width="12.6640625" style="1" customWidth="1"/>
    <col min="16161" max="16161" width="13.33203125" style="1" customWidth="1"/>
    <col min="16162" max="16162" width="10.1640625" style="1" customWidth="1"/>
    <col min="16163" max="16163" width="11.5" style="1" customWidth="1"/>
    <col min="16164" max="16165" width="12" style="1" customWidth="1"/>
    <col min="16166" max="16166" width="9.6640625" style="1" customWidth="1"/>
    <col min="16167" max="16167" width="2.5" style="1" customWidth="1"/>
    <col min="16168" max="16384" width="9.33203125" style="1"/>
  </cols>
  <sheetData>
    <row r="1" spans="2:39" ht="13.5" thickBot="1" x14ac:dyDescent="0.25"/>
    <row r="2" spans="2:39" ht="30" customHeight="1" thickBot="1" x14ac:dyDescent="0.25">
      <c r="B2" s="698" t="s">
        <v>526</v>
      </c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  <c r="Z2" s="699"/>
      <c r="AA2" s="699"/>
      <c r="AB2" s="699"/>
      <c r="AC2" s="699"/>
      <c r="AD2" s="699"/>
      <c r="AE2" s="699"/>
      <c r="AF2" s="699"/>
      <c r="AG2" s="699"/>
      <c r="AH2" s="699"/>
      <c r="AI2" s="699"/>
      <c r="AJ2" s="699"/>
      <c r="AK2" s="699"/>
      <c r="AL2" s="700"/>
    </row>
    <row r="3" spans="2:39" s="2" customFormat="1" ht="51" customHeight="1" thickBot="1" x14ac:dyDescent="0.25">
      <c r="B3" s="355" t="s">
        <v>286</v>
      </c>
      <c r="C3" s="701" t="s">
        <v>5</v>
      </c>
      <c r="D3" s="702"/>
      <c r="E3" s="702"/>
      <c r="F3" s="702"/>
      <c r="G3" s="702"/>
      <c r="H3" s="703"/>
      <c r="I3" s="704" t="s">
        <v>389</v>
      </c>
      <c r="J3" s="706" t="s">
        <v>390</v>
      </c>
      <c r="K3" s="706" t="s">
        <v>391</v>
      </c>
      <c r="L3" s="706" t="s">
        <v>392</v>
      </c>
      <c r="M3" s="707" t="s">
        <v>393</v>
      </c>
      <c r="N3" s="709" t="s">
        <v>6</v>
      </c>
      <c r="O3" s="710"/>
      <c r="P3" s="694" t="s">
        <v>7</v>
      </c>
      <c r="Q3" s="695"/>
      <c r="R3" s="695"/>
      <c r="S3" s="696"/>
      <c r="T3" s="709" t="s">
        <v>394</v>
      </c>
      <c r="U3" s="711"/>
      <c r="V3" s="711"/>
      <c r="W3" s="710"/>
      <c r="X3" s="709" t="s">
        <v>395</v>
      </c>
      <c r="Y3" s="711"/>
      <c r="Z3" s="711"/>
      <c r="AA3" s="710"/>
      <c r="AB3" s="709" t="s">
        <v>8</v>
      </c>
      <c r="AC3" s="711"/>
      <c r="AD3" s="711"/>
      <c r="AE3" s="711"/>
      <c r="AF3" s="711"/>
      <c r="AG3" s="710"/>
      <c r="AH3" s="709" t="s">
        <v>9</v>
      </c>
      <c r="AI3" s="711"/>
      <c r="AJ3" s="711"/>
      <c r="AK3" s="711"/>
      <c r="AL3" s="710"/>
    </row>
    <row r="4" spans="2:39" s="2" customFormat="1" ht="12.75" customHeight="1" x14ac:dyDescent="0.2">
      <c r="B4" s="712" t="s">
        <v>10</v>
      </c>
      <c r="C4" s="713" t="s">
        <v>11</v>
      </c>
      <c r="D4" s="692"/>
      <c r="E4" s="692"/>
      <c r="F4" s="692" t="s">
        <v>12</v>
      </c>
      <c r="G4" s="692"/>
      <c r="H4" s="693"/>
      <c r="I4" s="705"/>
      <c r="J4" s="692"/>
      <c r="K4" s="692"/>
      <c r="L4" s="692"/>
      <c r="M4" s="708"/>
      <c r="N4" s="690" t="s">
        <v>13</v>
      </c>
      <c r="O4" s="688" t="s">
        <v>1246</v>
      </c>
      <c r="P4" s="690" t="s">
        <v>316</v>
      </c>
      <c r="Q4" s="686" t="s">
        <v>397</v>
      </c>
      <c r="R4" s="686" t="s">
        <v>1264</v>
      </c>
      <c r="S4" s="686" t="s">
        <v>481</v>
      </c>
      <c r="T4" s="690" t="s">
        <v>258</v>
      </c>
      <c r="U4" s="686" t="s">
        <v>1247</v>
      </c>
      <c r="V4" s="686" t="s">
        <v>1246</v>
      </c>
      <c r="W4" s="688" t="s">
        <v>1248</v>
      </c>
      <c r="X4" s="690" t="s">
        <v>13</v>
      </c>
      <c r="Y4" s="686" t="s">
        <v>399</v>
      </c>
      <c r="Z4" s="686" t="s">
        <v>259</v>
      </c>
      <c r="AA4" s="688" t="s">
        <v>400</v>
      </c>
      <c r="AB4" s="690" t="s">
        <v>16</v>
      </c>
      <c r="AC4" s="686" t="s">
        <v>401</v>
      </c>
      <c r="AD4" s="686" t="s">
        <v>402</v>
      </c>
      <c r="AE4" s="686"/>
      <c r="AF4" s="686"/>
      <c r="AG4" s="688"/>
      <c r="AH4" s="690" t="s">
        <v>403</v>
      </c>
      <c r="AI4" s="686" t="s">
        <v>530</v>
      </c>
      <c r="AJ4" s="686" t="s">
        <v>404</v>
      </c>
      <c r="AK4" s="686" t="s">
        <v>405</v>
      </c>
      <c r="AL4" s="688" t="s">
        <v>17</v>
      </c>
    </row>
    <row r="5" spans="2:39" s="2" customFormat="1" ht="25.5" x14ac:dyDescent="0.2">
      <c r="B5" s="712"/>
      <c r="C5" s="713"/>
      <c r="D5" s="692"/>
      <c r="E5" s="692"/>
      <c r="F5" s="692"/>
      <c r="G5" s="692"/>
      <c r="H5" s="693"/>
      <c r="I5" s="705"/>
      <c r="J5" s="692"/>
      <c r="K5" s="692"/>
      <c r="L5" s="692"/>
      <c r="M5" s="708"/>
      <c r="N5" s="691"/>
      <c r="O5" s="689"/>
      <c r="P5" s="691"/>
      <c r="Q5" s="687"/>
      <c r="R5" s="687"/>
      <c r="S5" s="687"/>
      <c r="T5" s="691"/>
      <c r="U5" s="687"/>
      <c r="V5" s="687"/>
      <c r="W5" s="689"/>
      <c r="X5" s="691"/>
      <c r="Y5" s="687"/>
      <c r="Z5" s="687"/>
      <c r="AA5" s="689"/>
      <c r="AB5" s="691"/>
      <c r="AC5" s="687"/>
      <c r="AD5" s="356" t="s">
        <v>406</v>
      </c>
      <c r="AE5" s="356" t="s">
        <v>285</v>
      </c>
      <c r="AF5" s="356" t="s">
        <v>407</v>
      </c>
      <c r="AG5" s="357" t="s">
        <v>18</v>
      </c>
      <c r="AH5" s="691"/>
      <c r="AI5" s="687"/>
      <c r="AJ5" s="687"/>
      <c r="AK5" s="687"/>
      <c r="AL5" s="689"/>
    </row>
    <row r="6" spans="2:39" ht="21.75" customHeight="1" x14ac:dyDescent="0.2">
      <c r="B6" s="358" t="s">
        <v>430</v>
      </c>
      <c r="C6" s="359">
        <v>0</v>
      </c>
      <c r="D6" s="360" t="s">
        <v>19</v>
      </c>
      <c r="E6" s="361">
        <v>0</v>
      </c>
      <c r="F6" s="362">
        <v>5</v>
      </c>
      <c r="G6" s="363" t="s">
        <v>19</v>
      </c>
      <c r="H6" s="364">
        <v>16.82</v>
      </c>
      <c r="I6" s="365">
        <f t="shared" ref="I6:I9" si="0">(F6*20+H6)-(C6*20+E6)</f>
        <v>116.82</v>
      </c>
      <c r="J6" s="361">
        <v>9</v>
      </c>
      <c r="K6" s="361">
        <f t="shared" ref="K6:K9" si="1">+J6-0.6</f>
        <v>8.4</v>
      </c>
      <c r="L6" s="361">
        <f>5.36*4</f>
        <v>21.44</v>
      </c>
      <c r="M6" s="366">
        <f t="shared" ref="M6:M9" si="2">+K6*I6+L6</f>
        <v>1002.7280000000001</v>
      </c>
      <c r="N6" s="367">
        <f t="shared" ref="N6:N9" si="3">+J6+(2*0.22)</f>
        <v>9.44</v>
      </c>
      <c r="O6" s="368">
        <f t="shared" ref="O6:O9" si="4">N6*I6+1.1*L6</f>
        <v>1126.3647999999998</v>
      </c>
      <c r="P6" s="367">
        <v>497.09</v>
      </c>
      <c r="Q6" s="369">
        <v>1023.85</v>
      </c>
      <c r="R6" s="369">
        <f>IF(P6-Q6&lt;0,ABS(P6-Q6),P6-Q6)</f>
        <v>526.76</v>
      </c>
      <c r="S6" s="369">
        <f t="shared" ref="S6:S10" si="5">I6*N6*0.3</f>
        <v>330.83423999999991</v>
      </c>
      <c r="T6" s="367">
        <f t="shared" ref="T6:T10" si="6">+J6+(2*0.12)</f>
        <v>9.24</v>
      </c>
      <c r="U6" s="369">
        <v>0.15</v>
      </c>
      <c r="V6" s="369">
        <f t="shared" ref="V6:V10" si="7">X6*I6+L6*1.1</f>
        <v>1103.0008</v>
      </c>
      <c r="W6" s="368">
        <f t="shared" ref="W6:W9" si="8">V6*U6</f>
        <v>165.45012</v>
      </c>
      <c r="X6" s="367">
        <f t="shared" ref="X6:X9" si="9">+J6+(2*0.12)</f>
        <v>9.24</v>
      </c>
      <c r="Y6" s="369">
        <v>0.15</v>
      </c>
      <c r="Z6" s="369">
        <f t="shared" ref="Z6:Z9" si="10">X6*I6+L6*1.1</f>
        <v>1103.0008</v>
      </c>
      <c r="AA6" s="368">
        <f t="shared" ref="AA6:AA9" si="11">Z6*Y6</f>
        <v>165.45012</v>
      </c>
      <c r="AB6" s="367">
        <f t="shared" ref="AB6:AB9" si="12">M6</f>
        <v>1002.7280000000001</v>
      </c>
      <c r="AC6" s="369">
        <f t="shared" ref="AC6:AC9" si="13">AB6*0.0012</f>
        <v>1.2032735999999999</v>
      </c>
      <c r="AD6" s="370">
        <v>0.04</v>
      </c>
      <c r="AE6" s="369">
        <f t="shared" ref="AE6:AE9" si="14">M6</f>
        <v>1002.7280000000001</v>
      </c>
      <c r="AF6" s="369">
        <f t="shared" ref="AF6:AF9" si="15">+AE6*AD6</f>
        <v>40.109120000000004</v>
      </c>
      <c r="AG6" s="368">
        <f t="shared" ref="AG6:AG9" si="16">2.5548*AF6</f>
        <v>102.47077977600001</v>
      </c>
      <c r="AH6" s="371">
        <v>245.06</v>
      </c>
      <c r="AI6" s="372">
        <v>0</v>
      </c>
      <c r="AJ6" s="372">
        <v>0</v>
      </c>
      <c r="AK6" s="373">
        <v>0</v>
      </c>
      <c r="AL6" s="374">
        <v>0</v>
      </c>
    </row>
    <row r="7" spans="2:39" ht="21.75" customHeight="1" x14ac:dyDescent="0.2">
      <c r="B7" s="358" t="s">
        <v>431</v>
      </c>
      <c r="C7" s="359">
        <v>6</v>
      </c>
      <c r="D7" s="360" t="s">
        <v>19</v>
      </c>
      <c r="E7" s="361">
        <v>15.83</v>
      </c>
      <c r="F7" s="362">
        <v>12</v>
      </c>
      <c r="G7" s="363" t="s">
        <v>19</v>
      </c>
      <c r="H7" s="364">
        <v>7.64</v>
      </c>
      <c r="I7" s="365">
        <f t="shared" si="0"/>
        <v>111.80999999999997</v>
      </c>
      <c r="J7" s="361">
        <v>9</v>
      </c>
      <c r="K7" s="361">
        <f t="shared" si="1"/>
        <v>8.4</v>
      </c>
      <c r="L7" s="361">
        <f t="shared" ref="L7" si="17">5.36*2</f>
        <v>10.72</v>
      </c>
      <c r="M7" s="366">
        <f t="shared" si="2"/>
        <v>949.92399999999986</v>
      </c>
      <c r="N7" s="367">
        <f t="shared" si="3"/>
        <v>9.44</v>
      </c>
      <c r="O7" s="368">
        <f t="shared" si="4"/>
        <v>1067.2783999999997</v>
      </c>
      <c r="P7" s="367">
        <v>0</v>
      </c>
      <c r="Q7" s="369">
        <v>0</v>
      </c>
      <c r="R7" s="369">
        <f>IF(P7-Q7&lt;0,ABS(P7-Q7),P7-Q7)</f>
        <v>0</v>
      </c>
      <c r="S7" s="369">
        <f t="shared" si="5"/>
        <v>316.64591999999993</v>
      </c>
      <c r="T7" s="367">
        <f t="shared" si="6"/>
        <v>9.24</v>
      </c>
      <c r="U7" s="369">
        <v>0.15</v>
      </c>
      <c r="V7" s="369">
        <f t="shared" si="7"/>
        <v>1044.9163999999996</v>
      </c>
      <c r="W7" s="368">
        <f t="shared" si="8"/>
        <v>156.73745999999994</v>
      </c>
      <c r="X7" s="367">
        <f t="shared" si="9"/>
        <v>9.24</v>
      </c>
      <c r="Y7" s="369">
        <v>0.15</v>
      </c>
      <c r="Z7" s="369">
        <f t="shared" si="10"/>
        <v>1044.9163999999996</v>
      </c>
      <c r="AA7" s="368">
        <f t="shared" si="11"/>
        <v>156.73745999999994</v>
      </c>
      <c r="AB7" s="367">
        <f t="shared" si="12"/>
        <v>949.92399999999986</v>
      </c>
      <c r="AC7" s="369">
        <f t="shared" si="13"/>
        <v>1.1399087999999997</v>
      </c>
      <c r="AD7" s="370">
        <v>0.04</v>
      </c>
      <c r="AE7" s="369">
        <f t="shared" si="14"/>
        <v>949.92399999999986</v>
      </c>
      <c r="AF7" s="369">
        <f t="shared" si="15"/>
        <v>37.996959999999994</v>
      </c>
      <c r="AG7" s="368">
        <f t="shared" si="16"/>
        <v>97.074633407999997</v>
      </c>
      <c r="AH7" s="371">
        <v>229.46</v>
      </c>
      <c r="AI7" s="372">
        <v>0</v>
      </c>
      <c r="AJ7" s="372">
        <v>0</v>
      </c>
      <c r="AK7" s="373">
        <v>0</v>
      </c>
      <c r="AL7" s="374">
        <v>9</v>
      </c>
    </row>
    <row r="8" spans="2:39" ht="21.75" customHeight="1" x14ac:dyDescent="0.2">
      <c r="B8" s="358" t="s">
        <v>432</v>
      </c>
      <c r="C8" s="359">
        <v>0</v>
      </c>
      <c r="D8" s="360" t="s">
        <v>19</v>
      </c>
      <c r="E8" s="361">
        <v>0</v>
      </c>
      <c r="F8" s="362">
        <v>5</v>
      </c>
      <c r="G8" s="363" t="s">
        <v>19</v>
      </c>
      <c r="H8" s="364">
        <v>17.239999999999998</v>
      </c>
      <c r="I8" s="365">
        <f t="shared" si="0"/>
        <v>117.24</v>
      </c>
      <c r="J8" s="361">
        <v>9</v>
      </c>
      <c r="K8" s="361">
        <f t="shared" si="1"/>
        <v>8.4</v>
      </c>
      <c r="L8" s="361">
        <f>(5.36*3)+125.58</f>
        <v>141.66</v>
      </c>
      <c r="M8" s="366">
        <f t="shared" si="2"/>
        <v>1126.4760000000001</v>
      </c>
      <c r="N8" s="367">
        <f t="shared" si="3"/>
        <v>9.44</v>
      </c>
      <c r="O8" s="368">
        <f t="shared" si="4"/>
        <v>1262.5716</v>
      </c>
      <c r="P8" s="367">
        <v>183.99</v>
      </c>
      <c r="Q8" s="369">
        <v>1606.05</v>
      </c>
      <c r="R8" s="369">
        <f>IF(P8-Q8&lt;0,ABS(P8-Q8),P8-Q8)</f>
        <v>1422.06</v>
      </c>
      <c r="S8" s="369">
        <f t="shared" si="5"/>
        <v>332.02367999999996</v>
      </c>
      <c r="T8" s="367">
        <f t="shared" si="6"/>
        <v>9.24</v>
      </c>
      <c r="U8" s="369">
        <v>0.15</v>
      </c>
      <c r="V8" s="369">
        <f t="shared" si="7"/>
        <v>1239.1235999999999</v>
      </c>
      <c r="W8" s="368">
        <f t="shared" si="8"/>
        <v>185.86853999999997</v>
      </c>
      <c r="X8" s="367">
        <f t="shared" si="9"/>
        <v>9.24</v>
      </c>
      <c r="Y8" s="369">
        <v>0.15</v>
      </c>
      <c r="Z8" s="369">
        <f t="shared" si="10"/>
        <v>1239.1235999999999</v>
      </c>
      <c r="AA8" s="368">
        <f t="shared" si="11"/>
        <v>185.86853999999997</v>
      </c>
      <c r="AB8" s="367">
        <f t="shared" si="12"/>
        <v>1126.4760000000001</v>
      </c>
      <c r="AC8" s="369">
        <f t="shared" si="13"/>
        <v>1.3517712</v>
      </c>
      <c r="AD8" s="370">
        <v>0.04</v>
      </c>
      <c r="AE8" s="369">
        <f t="shared" si="14"/>
        <v>1126.4760000000001</v>
      </c>
      <c r="AF8" s="369">
        <f t="shared" si="15"/>
        <v>45.059040000000003</v>
      </c>
      <c r="AG8" s="368">
        <f t="shared" si="16"/>
        <v>115.11683539200001</v>
      </c>
      <c r="AH8" s="371">
        <v>245.66</v>
      </c>
      <c r="AI8" s="372">
        <v>0</v>
      </c>
      <c r="AJ8" s="372">
        <v>0</v>
      </c>
      <c r="AK8" s="373">
        <v>0</v>
      </c>
      <c r="AL8" s="374">
        <v>0</v>
      </c>
    </row>
    <row r="9" spans="2:39" ht="21.75" customHeight="1" x14ac:dyDescent="0.2">
      <c r="B9" s="358" t="s">
        <v>433</v>
      </c>
      <c r="C9" s="359">
        <v>6</v>
      </c>
      <c r="D9" s="360" t="s">
        <v>19</v>
      </c>
      <c r="E9" s="361">
        <v>16.239999999999998</v>
      </c>
      <c r="F9" s="362">
        <v>12</v>
      </c>
      <c r="G9" s="363" t="s">
        <v>19</v>
      </c>
      <c r="H9" s="364">
        <v>8.49</v>
      </c>
      <c r="I9" s="365">
        <f t="shared" si="0"/>
        <v>112.25</v>
      </c>
      <c r="J9" s="361">
        <v>9</v>
      </c>
      <c r="K9" s="361">
        <f t="shared" si="1"/>
        <v>8.4</v>
      </c>
      <c r="L9" s="361">
        <f>5.36+61.98</f>
        <v>67.34</v>
      </c>
      <c r="M9" s="366">
        <f t="shared" si="2"/>
        <v>1010.2400000000001</v>
      </c>
      <c r="N9" s="367">
        <f t="shared" si="3"/>
        <v>9.44</v>
      </c>
      <c r="O9" s="368">
        <f t="shared" si="4"/>
        <v>1133.7139999999999</v>
      </c>
      <c r="P9" s="367">
        <v>0</v>
      </c>
      <c r="Q9" s="369">
        <v>0</v>
      </c>
      <c r="R9" s="369">
        <f>IF(P9-Q9&lt;0,ABS(P9-Q9),P9-Q9)</f>
        <v>0</v>
      </c>
      <c r="S9" s="369">
        <f t="shared" si="5"/>
        <v>317.89199999999994</v>
      </c>
      <c r="T9" s="367">
        <f t="shared" si="6"/>
        <v>9.24</v>
      </c>
      <c r="U9" s="369">
        <v>0.15</v>
      </c>
      <c r="V9" s="369">
        <f t="shared" si="7"/>
        <v>1111.2640000000001</v>
      </c>
      <c r="W9" s="368">
        <f t="shared" si="8"/>
        <v>166.68960000000001</v>
      </c>
      <c r="X9" s="367">
        <f t="shared" si="9"/>
        <v>9.24</v>
      </c>
      <c r="Y9" s="369">
        <v>0.15</v>
      </c>
      <c r="Z9" s="369">
        <f t="shared" si="10"/>
        <v>1111.2640000000001</v>
      </c>
      <c r="AA9" s="368">
        <f t="shared" si="11"/>
        <v>166.68960000000001</v>
      </c>
      <c r="AB9" s="367">
        <f t="shared" si="12"/>
        <v>1010.2400000000001</v>
      </c>
      <c r="AC9" s="369">
        <f t="shared" si="13"/>
        <v>1.212288</v>
      </c>
      <c r="AD9" s="370">
        <v>0.04</v>
      </c>
      <c r="AE9" s="369">
        <f t="shared" si="14"/>
        <v>1010.2400000000001</v>
      </c>
      <c r="AF9" s="369">
        <f t="shared" si="15"/>
        <v>40.409600000000005</v>
      </c>
      <c r="AG9" s="368">
        <f t="shared" si="16"/>
        <v>103.23844608000002</v>
      </c>
      <c r="AH9" s="371">
        <v>230.33</v>
      </c>
      <c r="AI9" s="372">
        <v>0</v>
      </c>
      <c r="AJ9" s="372">
        <v>0</v>
      </c>
      <c r="AK9" s="373">
        <v>0</v>
      </c>
      <c r="AL9" s="374">
        <v>9</v>
      </c>
    </row>
    <row r="10" spans="2:39" ht="21.75" customHeight="1" thickBot="1" x14ac:dyDescent="0.25">
      <c r="B10" s="358" t="s">
        <v>429</v>
      </c>
      <c r="C10" s="359">
        <v>0</v>
      </c>
      <c r="D10" s="360" t="s">
        <v>19</v>
      </c>
      <c r="E10" s="361">
        <v>2.5</v>
      </c>
      <c r="F10" s="362">
        <v>9</v>
      </c>
      <c r="G10" s="363" t="s">
        <v>19</v>
      </c>
      <c r="H10" s="364">
        <v>12.25</v>
      </c>
      <c r="I10" s="365">
        <f>(F10*20+H10)-(C10*20+E10)</f>
        <v>189.75</v>
      </c>
      <c r="J10" s="361">
        <v>18</v>
      </c>
      <c r="K10" s="361">
        <f>+J10-0.6</f>
        <v>17.399999999999999</v>
      </c>
      <c r="L10" s="361">
        <f>55.73+55.73</f>
        <v>111.46</v>
      </c>
      <c r="M10" s="366">
        <f>+K10*I10+L10</f>
        <v>3413.1099999999997</v>
      </c>
      <c r="N10" s="367">
        <f>+J10+(2*0.22)</f>
        <v>18.440000000000001</v>
      </c>
      <c r="O10" s="368">
        <f>N10*I10+1.1*L10</f>
        <v>3621.5960000000005</v>
      </c>
      <c r="P10" s="367">
        <v>286.51</v>
      </c>
      <c r="Q10" s="369">
        <v>332.81</v>
      </c>
      <c r="R10" s="369">
        <f>IF(P10-Q10&lt;0,ABS(P10-Q10),P10-Q10)</f>
        <v>46.300000000000011</v>
      </c>
      <c r="S10" s="369">
        <f t="shared" si="5"/>
        <v>1049.6970000000001</v>
      </c>
      <c r="T10" s="367">
        <f t="shared" si="6"/>
        <v>18.239999999999998</v>
      </c>
      <c r="U10" s="369">
        <v>0.15</v>
      </c>
      <c r="V10" s="369">
        <f t="shared" si="7"/>
        <v>3583.6459999999997</v>
      </c>
      <c r="W10" s="368">
        <f>V10*U10</f>
        <v>537.54689999999994</v>
      </c>
      <c r="X10" s="367">
        <f>+J10+(2*0.12)</f>
        <v>18.239999999999998</v>
      </c>
      <c r="Y10" s="369">
        <v>0.15</v>
      </c>
      <c r="Z10" s="369">
        <f>X10*I10+L10*1.1</f>
        <v>3583.6459999999997</v>
      </c>
      <c r="AA10" s="368">
        <f>Z10*Y10</f>
        <v>537.54689999999994</v>
      </c>
      <c r="AB10" s="367">
        <f>M10</f>
        <v>3413.1099999999997</v>
      </c>
      <c r="AC10" s="369">
        <f>AB10*0.0012</f>
        <v>4.095731999999999</v>
      </c>
      <c r="AD10" s="370">
        <v>0.04</v>
      </c>
      <c r="AE10" s="369">
        <f>M10</f>
        <v>3413.1099999999997</v>
      </c>
      <c r="AF10" s="369">
        <f>+AE10*AD10</f>
        <v>136.52439999999999</v>
      </c>
      <c r="AG10" s="368">
        <f>2.5548*AF10</f>
        <v>348.79253711999996</v>
      </c>
      <c r="AH10" s="371">
        <f>265.55+185.47</f>
        <v>451.02</v>
      </c>
      <c r="AI10" s="372">
        <v>0</v>
      </c>
      <c r="AJ10" s="372">
        <v>0</v>
      </c>
      <c r="AK10" s="373">
        <v>0</v>
      </c>
      <c r="AL10" s="374">
        <f>18+19</f>
        <v>37</v>
      </c>
    </row>
    <row r="11" spans="2:39" ht="19.5" customHeight="1" thickBot="1" x14ac:dyDescent="0.25">
      <c r="B11" s="375" t="s">
        <v>20</v>
      </c>
      <c r="C11" s="376"/>
      <c r="D11" s="377"/>
      <c r="E11" s="377"/>
      <c r="F11" s="376"/>
      <c r="G11" s="376"/>
      <c r="H11" s="378"/>
      <c r="I11" s="379">
        <f>SUM(I6:I10)</f>
        <v>647.86999999999989</v>
      </c>
      <c r="J11" s="379"/>
      <c r="K11" s="379"/>
      <c r="L11" s="379"/>
      <c r="M11" s="379">
        <f>SUM(M6:M10)</f>
        <v>7502.4780000000001</v>
      </c>
      <c r="N11" s="379"/>
      <c r="O11" s="379">
        <f>SUM(O6:O10)</f>
        <v>8211.5247999999992</v>
      </c>
      <c r="P11" s="380">
        <f>SUM(P6:P10)</f>
        <v>967.58999999999992</v>
      </c>
      <c r="Q11" s="380">
        <f>SUM(Q6:Q10)</f>
        <v>2962.71</v>
      </c>
      <c r="R11" s="380">
        <f>SUM(R6:R10)</f>
        <v>1995.12</v>
      </c>
      <c r="S11" s="380">
        <f>SUM(S6:S10)</f>
        <v>2347.0928399999998</v>
      </c>
      <c r="T11" s="379"/>
      <c r="U11" s="379"/>
      <c r="V11" s="379"/>
      <c r="W11" s="379">
        <f>SUM(W6:W10)</f>
        <v>1212.2926199999997</v>
      </c>
      <c r="X11" s="379"/>
      <c r="Y11" s="379"/>
      <c r="Z11" s="379"/>
      <c r="AA11" s="379">
        <f>SUM(AA6:AA10)</f>
        <v>1212.2926199999997</v>
      </c>
      <c r="AB11" s="379">
        <f>SUM(AB6:AB10)</f>
        <v>7502.4780000000001</v>
      </c>
      <c r="AC11" s="379">
        <f>SUM(AC6:AC10)</f>
        <v>9.0029735999999989</v>
      </c>
      <c r="AD11" s="379"/>
      <c r="AE11" s="379">
        <f t="shared" ref="AE11:AL11" si="18">SUM(AE6:AE10)</f>
        <v>7502.4780000000001</v>
      </c>
      <c r="AF11" s="379">
        <f t="shared" si="18"/>
        <v>300.09911999999997</v>
      </c>
      <c r="AG11" s="379">
        <f t="shared" si="18"/>
        <v>766.69323177599995</v>
      </c>
      <c r="AH11" s="380">
        <f t="shared" si="18"/>
        <v>1401.53</v>
      </c>
      <c r="AI11" s="379">
        <f t="shared" si="18"/>
        <v>0</v>
      </c>
      <c r="AJ11" s="379">
        <f t="shared" si="18"/>
        <v>0</v>
      </c>
      <c r="AK11" s="381">
        <f t="shared" si="18"/>
        <v>0</v>
      </c>
      <c r="AL11" s="382">
        <f t="shared" si="18"/>
        <v>55</v>
      </c>
      <c r="AM11" s="11"/>
    </row>
    <row r="12" spans="2:39" ht="19.5" customHeight="1" x14ac:dyDescent="0.2">
      <c r="B12" s="466"/>
      <c r="C12" s="467"/>
      <c r="D12" s="466"/>
      <c r="E12" s="466"/>
      <c r="F12" s="467"/>
      <c r="G12" s="467"/>
      <c r="H12" s="467"/>
      <c r="I12" s="468"/>
      <c r="J12" s="468"/>
      <c r="K12" s="468"/>
      <c r="L12" s="468"/>
      <c r="M12" s="468"/>
      <c r="N12" s="468"/>
      <c r="O12" s="468"/>
      <c r="P12" s="469"/>
      <c r="Q12" s="469"/>
      <c r="R12" s="469"/>
      <c r="S12" s="469"/>
      <c r="T12" s="468"/>
      <c r="U12" s="468"/>
      <c r="V12" s="468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9"/>
      <c r="AI12" s="468"/>
      <c r="AJ12" s="468"/>
      <c r="AK12" s="468"/>
      <c r="AL12" s="468"/>
      <c r="AM12" s="11"/>
    </row>
    <row r="13" spans="2:39" ht="21" customHeight="1" x14ac:dyDescent="0.2">
      <c r="B13" s="6"/>
      <c r="C13" s="7"/>
      <c r="D13" s="6"/>
      <c r="E13" s="6"/>
      <c r="F13" s="7"/>
      <c r="G13" s="7"/>
      <c r="H13" s="7"/>
      <c r="I13" s="8"/>
      <c r="J13" s="6"/>
      <c r="K13" s="6"/>
      <c r="L13" s="6"/>
      <c r="M13" s="6"/>
      <c r="N13" s="6"/>
      <c r="O13" s="6"/>
      <c r="P13" s="697"/>
      <c r="Q13" s="697"/>
      <c r="R13" s="697"/>
      <c r="S13" s="697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</row>
    <row r="14" spans="2:39" ht="20.100000000000001" customHeight="1" x14ac:dyDescent="0.2">
      <c r="B14" s="485" t="s">
        <v>542</v>
      </c>
      <c r="C14" s="7"/>
      <c r="D14" s="6"/>
      <c r="E14" s="6"/>
      <c r="F14" s="7"/>
      <c r="G14" s="7"/>
      <c r="H14" s="7"/>
      <c r="I14" s="8"/>
      <c r="J14" s="6"/>
      <c r="K14" s="6"/>
      <c r="L14" s="6"/>
      <c r="M14" s="6"/>
      <c r="N14" s="6"/>
      <c r="P14" s="13" t="s">
        <v>301</v>
      </c>
      <c r="Q14" s="383">
        <f>P11+S11</f>
        <v>3314.6828399999995</v>
      </c>
      <c r="R14" s="91" t="s">
        <v>3</v>
      </c>
      <c r="S14" s="91"/>
      <c r="T14" s="384"/>
      <c r="U14" s="385" t="s">
        <v>1249</v>
      </c>
      <c r="V14" s="388">
        <f>TRUNC(W11*1.15,2)</f>
        <v>1394.13</v>
      </c>
      <c r="W14" s="389" t="s">
        <v>3</v>
      </c>
      <c r="X14" s="386"/>
      <c r="Y14" s="387"/>
      <c r="Z14" s="391" t="s">
        <v>527</v>
      </c>
      <c r="AA14" s="392">
        <f>TRUNC(AA11*1.15,2)</f>
        <v>1394.13</v>
      </c>
      <c r="AB14" s="384" t="s">
        <v>3</v>
      </c>
      <c r="AC14" s="9"/>
      <c r="AD14" s="10" t="s">
        <v>408</v>
      </c>
      <c r="AE14" s="390">
        <f>TRUNC(AC11*30,2)</f>
        <v>270.08</v>
      </c>
      <c r="AF14" s="15" t="s">
        <v>82</v>
      </c>
      <c r="AG14" s="9"/>
      <c r="AJ14" s="10" t="s">
        <v>22</v>
      </c>
      <c r="AK14" s="67">
        <f>TRUNC((0.0615*0.579*AH11)+(0.0334*0.5872*AI11),2)</f>
        <v>49.9</v>
      </c>
      <c r="AL14" s="6" t="s">
        <v>3</v>
      </c>
    </row>
    <row r="15" spans="2:39" ht="20.100000000000001" customHeight="1" x14ac:dyDescent="0.2">
      <c r="B15" s="486" t="s">
        <v>1079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3" t="s">
        <v>409</v>
      </c>
      <c r="Q15" s="9">
        <f>TRUNC(S11*1.15,2)</f>
        <v>2699.15</v>
      </c>
      <c r="R15" s="15" t="s">
        <v>3</v>
      </c>
      <c r="S15" s="15"/>
      <c r="T15" s="384"/>
      <c r="U15" s="391" t="s">
        <v>1250</v>
      </c>
      <c r="V15" s="392">
        <f>TRUNC(W11*1.3*30,2)</f>
        <v>47279.41</v>
      </c>
      <c r="W15" s="387" t="s">
        <v>21</v>
      </c>
      <c r="X15" s="386"/>
      <c r="Y15" s="387"/>
      <c r="Z15" s="391" t="s">
        <v>529</v>
      </c>
      <c r="AA15" s="392">
        <f>TRUNC(AA11*1.1*DMT!F9,2)</f>
        <v>16268.96</v>
      </c>
      <c r="AB15" s="387" t="s">
        <v>21</v>
      </c>
      <c r="AC15" s="9"/>
      <c r="AD15" s="10" t="s">
        <v>410</v>
      </c>
      <c r="AE15" s="390">
        <f>TRUNC(AC11*(DMT!F8-30),2)</f>
        <v>1620.53</v>
      </c>
      <c r="AF15" s="15" t="s">
        <v>82</v>
      </c>
      <c r="AG15" s="9"/>
      <c r="AJ15" s="10" t="s">
        <v>24</v>
      </c>
      <c r="AK15" s="67">
        <f>TRUNC(0.033*0.579*AL11,2)</f>
        <v>1.05</v>
      </c>
      <c r="AL15" s="6" t="s">
        <v>3</v>
      </c>
    </row>
    <row r="16" spans="2:39" ht="20.100000000000001" customHeight="1" x14ac:dyDescent="0.2">
      <c r="B16" s="3"/>
      <c r="L16" s="3"/>
      <c r="M16" s="3"/>
      <c r="O16" s="6"/>
      <c r="P16" s="13" t="s">
        <v>411</v>
      </c>
      <c r="Q16" s="9">
        <f>TRUNC(S11*1.3*DMT!F12,2)</f>
        <v>37224.89</v>
      </c>
      <c r="R16" s="15" t="s">
        <v>21</v>
      </c>
      <c r="S16" s="15"/>
      <c r="T16" s="393"/>
      <c r="U16" s="391" t="s">
        <v>1251</v>
      </c>
      <c r="V16" s="392">
        <f>TRUNC((W11*1.3)*(DMT!$F$13-30),2)</f>
        <v>9928.67</v>
      </c>
      <c r="W16" s="387" t="s">
        <v>21</v>
      </c>
      <c r="X16" s="386"/>
      <c r="Y16" s="387"/>
      <c r="Z16" s="391" t="s">
        <v>528</v>
      </c>
      <c r="AA16" s="392">
        <v>0</v>
      </c>
      <c r="AB16" s="387" t="s">
        <v>21</v>
      </c>
      <c r="AC16" s="9"/>
      <c r="AG16" s="383"/>
      <c r="AJ16" s="10" t="s">
        <v>262</v>
      </c>
      <c r="AK16" s="67">
        <f>TRUNC((AK15+AK14)*DMT!F9,2)</f>
        <v>621.59</v>
      </c>
      <c r="AL16" s="9" t="s">
        <v>21</v>
      </c>
    </row>
    <row r="17" spans="2:38" ht="21" customHeight="1" x14ac:dyDescent="0.2">
      <c r="B17" s="12"/>
      <c r="M17" s="11"/>
      <c r="O17" s="6"/>
      <c r="P17" s="385" t="s">
        <v>413</v>
      </c>
      <c r="Q17" s="9">
        <f>TRUNC(S11*1.3,2)</f>
        <v>3051.22</v>
      </c>
      <c r="R17" s="15" t="s">
        <v>3</v>
      </c>
      <c r="S17" s="15"/>
      <c r="T17" s="384"/>
      <c r="U17" s="391" t="s">
        <v>421</v>
      </c>
      <c r="V17" s="394">
        <f>W11</f>
        <v>1212.2926199999997</v>
      </c>
      <c r="W17" s="389" t="s">
        <v>3</v>
      </c>
      <c r="X17" s="384"/>
      <c r="Y17" s="386"/>
      <c r="Z17" s="391" t="s">
        <v>416</v>
      </c>
      <c r="AA17" s="394">
        <f>AA11</f>
        <v>1212.2926199999997</v>
      </c>
      <c r="AB17" s="389" t="s">
        <v>3</v>
      </c>
      <c r="AD17" s="10" t="s">
        <v>260</v>
      </c>
      <c r="AE17" s="67">
        <f>TRUNC(AG11*30,2)</f>
        <v>23000.79</v>
      </c>
      <c r="AF17" s="9" t="s">
        <v>82</v>
      </c>
      <c r="AJ17" s="10" t="s">
        <v>263</v>
      </c>
      <c r="AK17" s="67">
        <v>0</v>
      </c>
      <c r="AL17" s="9" t="s">
        <v>21</v>
      </c>
    </row>
    <row r="18" spans="2:38" ht="21" customHeight="1" x14ac:dyDescent="0.2">
      <c r="B18" s="12"/>
      <c r="P18" s="13" t="s">
        <v>415</v>
      </c>
      <c r="Q18" s="390">
        <f>TRUNC(P11*1.3,2)</f>
        <v>1257.8599999999999</v>
      </c>
      <c r="R18" s="15" t="s">
        <v>3</v>
      </c>
      <c r="S18" s="15"/>
      <c r="T18" s="386"/>
      <c r="X18" s="386"/>
      <c r="Y18" s="386"/>
      <c r="AD18" s="10" t="s">
        <v>261</v>
      </c>
      <c r="AE18" s="67">
        <f>TRUNC(AG11*(DMT!F6-30),2)</f>
        <v>14107.15</v>
      </c>
      <c r="AF18" s="9" t="s">
        <v>82</v>
      </c>
      <c r="AJ18" s="13"/>
      <c r="AK18" s="390"/>
      <c r="AL18" s="15"/>
    </row>
    <row r="19" spans="2:38" ht="21" customHeight="1" x14ac:dyDescent="0.2">
      <c r="B19" s="12"/>
      <c r="P19" s="13" t="s">
        <v>1269</v>
      </c>
      <c r="Q19" s="9">
        <f>TRUNC(R11*1.15,2)</f>
        <v>2294.38</v>
      </c>
      <c r="R19" s="15" t="s">
        <v>3</v>
      </c>
      <c r="S19" s="15"/>
      <c r="T19" s="386"/>
      <c r="U19" s="386"/>
      <c r="V19" s="386"/>
      <c r="W19" s="386"/>
      <c r="X19" s="386"/>
      <c r="Y19" s="386"/>
      <c r="Z19" s="386"/>
      <c r="AA19" s="395"/>
      <c r="AB19" s="386"/>
      <c r="AJ19" s="13"/>
      <c r="AK19" s="390"/>
      <c r="AL19" s="9"/>
    </row>
    <row r="20" spans="2:38" ht="21" customHeight="1" x14ac:dyDescent="0.2">
      <c r="B20" s="12"/>
      <c r="P20" s="13" t="s">
        <v>1270</v>
      </c>
      <c r="Q20" s="9">
        <f>TRUNC(R11*1.3*DMT!F14,2)</f>
        <v>2593.65</v>
      </c>
      <c r="R20" s="15" t="s">
        <v>21</v>
      </c>
      <c r="S20" s="15"/>
      <c r="AA20" s="3"/>
      <c r="AJ20" s="13"/>
      <c r="AK20" s="390"/>
      <c r="AL20" s="9"/>
    </row>
    <row r="21" spans="2:38" ht="21" customHeight="1" x14ac:dyDescent="0.2">
      <c r="B21" s="12"/>
      <c r="N21" s="396"/>
      <c r="O21" s="396"/>
      <c r="P21" s="13" t="s">
        <v>288</v>
      </c>
      <c r="Q21" s="390">
        <f>Q11</f>
        <v>2962.71</v>
      </c>
      <c r="R21" s="15" t="s">
        <v>3</v>
      </c>
      <c r="S21" s="396"/>
    </row>
    <row r="22" spans="2:38" ht="20.100000000000001" customHeight="1" x14ac:dyDescent="0.2">
      <c r="B22" s="12"/>
      <c r="M22" s="397"/>
      <c r="P22" s="13"/>
      <c r="Q22" s="390"/>
      <c r="R22" s="15"/>
      <c r="AA22" s="3"/>
      <c r="AK22" s="11"/>
    </row>
  </sheetData>
  <mergeCells count="39">
    <mergeCell ref="P3:S3"/>
    <mergeCell ref="P13:S13"/>
    <mergeCell ref="B2:AL2"/>
    <mergeCell ref="C3:H3"/>
    <mergeCell ref="I3:I5"/>
    <mergeCell ref="J3:J5"/>
    <mergeCell ref="K3:K5"/>
    <mergeCell ref="L3:L5"/>
    <mergeCell ref="M3:M5"/>
    <mergeCell ref="N3:O3"/>
    <mergeCell ref="T3:W3"/>
    <mergeCell ref="X3:AA3"/>
    <mergeCell ref="AB3:AG3"/>
    <mergeCell ref="AH3:AL3"/>
    <mergeCell ref="B4:B5"/>
    <mergeCell ref="C4:E5"/>
    <mergeCell ref="F4:H5"/>
    <mergeCell ref="AD4:AG4"/>
    <mergeCell ref="R4:R5"/>
    <mergeCell ref="T4:T5"/>
    <mergeCell ref="U4:U5"/>
    <mergeCell ref="V4:V5"/>
    <mergeCell ref="W4:W5"/>
    <mergeCell ref="X4:X5"/>
    <mergeCell ref="AC4:AC5"/>
    <mergeCell ref="S4:S5"/>
    <mergeCell ref="Y4:Y5"/>
    <mergeCell ref="Z4:Z5"/>
    <mergeCell ref="AA4:AA5"/>
    <mergeCell ref="AB4:AB5"/>
    <mergeCell ref="N4:N5"/>
    <mergeCell ref="O4:O5"/>
    <mergeCell ref="AK4:AK5"/>
    <mergeCell ref="AL4:AL5"/>
    <mergeCell ref="P4:P5"/>
    <mergeCell ref="Q4:Q5"/>
    <mergeCell ref="AH4:AH5"/>
    <mergeCell ref="AI4:AI5"/>
    <mergeCell ref="AJ4:AJ5"/>
  </mergeCells>
  <phoneticPr fontId="66" type="noConversion"/>
  <dataValidations disablePrompts="1" count="1">
    <dataValidation type="list" allowBlank="1" showInputMessage="1" showErrorMessage="1" sqref="WWL983036:WWL983042 WCT983036:WCT983042 VSX983036:VSX983042 VJB983036:VJB983042 UZF983036:UZF983042 UPJ983036:UPJ983042 UFN983036:UFN983042 TVR983036:TVR983042 TLV983036:TLV983042 TBZ983036:TBZ983042 SSD983036:SSD983042 SIH983036:SIH983042 RYL983036:RYL983042 ROP983036:ROP983042 RET983036:RET983042 QUX983036:QUX983042 QLB983036:QLB983042 QBF983036:QBF983042 PRJ983036:PRJ983042 PHN983036:PHN983042 OXR983036:OXR983042 ONV983036:ONV983042 ODZ983036:ODZ983042 NUD983036:NUD983042 NKH983036:NKH983042 NAL983036:NAL983042 MQP983036:MQP983042 MGT983036:MGT983042 LWX983036:LWX983042 LNB983036:LNB983042 LDF983036:LDF983042 KTJ983036:KTJ983042 KJN983036:KJN983042 JZR983036:JZR983042 JPV983036:JPV983042 JFZ983036:JFZ983042 IWD983036:IWD983042 IMH983036:IMH983042 ICL983036:ICL983042 HSP983036:HSP983042 HIT983036:HIT983042 GYX983036:GYX983042 GPB983036:GPB983042 GFF983036:GFF983042 FVJ983036:FVJ983042 FLN983036:FLN983042 FBR983036:FBR983042 ERV983036:ERV983042 EHZ983036:EHZ983042 DYD983036:DYD983042 DOH983036:DOH983042 DEL983036:DEL983042 CUP983036:CUP983042 CKT983036:CKT983042 CAX983036:CAX983042 BRB983036:BRB983042 BHF983036:BHF983042 AXJ983036:AXJ983042 ANN983036:ANN983042 ADR983036:ADR983042 TV983036:TV983042 JZ983036:JZ983042 WWL917500:WWL917506 WMP917500:WMP917506 WCT917500:WCT917506 VSX917500:VSX917506 VJB917500:VJB917506 UZF917500:UZF917506 UPJ917500:UPJ917506 UFN917500:UFN917506 TVR917500:TVR917506 TLV917500:TLV917506 TBZ917500:TBZ917506 SSD917500:SSD917506 SIH917500:SIH917506 RYL917500:RYL917506 ROP917500:ROP917506 RET917500:RET917506 QUX917500:QUX917506 QLB917500:QLB917506 QBF917500:QBF917506 PRJ917500:PRJ917506 PHN917500:PHN917506 OXR917500:OXR917506 ONV917500:ONV917506 ODZ917500:ODZ917506 NUD917500:NUD917506 NKH917500:NKH917506 NAL917500:NAL917506 MQP917500:MQP917506 MGT917500:MGT917506 LWX917500:LWX917506 LNB917500:LNB917506 LDF917500:LDF917506 KTJ917500:KTJ917506 KJN917500:KJN917506 JZR917500:JZR917506 JPV917500:JPV917506 JFZ917500:JFZ917506 IWD917500:IWD917506 IMH917500:IMH917506 ICL917500:ICL917506 HSP917500:HSP917506 HIT917500:HIT917506 GYX917500:GYX917506 GPB917500:GPB917506 GFF917500:GFF917506 FVJ917500:FVJ917506 FLN917500:FLN917506 FBR917500:FBR917506 ERV917500:ERV917506 EHZ917500:EHZ917506 DYD917500:DYD917506 DOH917500:DOH917506 DEL917500:DEL917506 CUP917500:CUP917506 CKT917500:CKT917506 CAX917500:CAX917506 BRB917500:BRB917506 BHF917500:BHF917506 AXJ917500:AXJ917506 ANN917500:ANN917506 ADR917500:ADR917506 TV917500:TV917506 JZ917500:JZ917506 WWL851964:WWL851970 WMP851964:WMP851970 WCT851964:WCT851970 VSX851964:VSX851970 VJB851964:VJB851970 UZF851964:UZF851970 UPJ851964:UPJ851970 UFN851964:UFN851970 TVR851964:TVR851970 TLV851964:TLV851970 TBZ851964:TBZ851970 SSD851964:SSD851970 SIH851964:SIH851970 RYL851964:RYL851970 ROP851964:ROP851970 RET851964:RET851970 QUX851964:QUX851970 QLB851964:QLB851970 QBF851964:QBF851970 PRJ851964:PRJ851970 PHN851964:PHN851970 OXR851964:OXR851970 ONV851964:ONV851970 ODZ851964:ODZ851970 NUD851964:NUD851970 NKH851964:NKH851970 NAL851964:NAL851970 MQP851964:MQP851970 MGT851964:MGT851970 LWX851964:LWX851970 LNB851964:LNB851970 LDF851964:LDF851970 KTJ851964:KTJ851970 KJN851964:KJN851970 JZR851964:JZR851970 JPV851964:JPV851970 JFZ851964:JFZ851970 IWD851964:IWD851970 IMH851964:IMH851970 ICL851964:ICL851970 HSP851964:HSP851970 HIT851964:HIT851970 GYX851964:GYX851970 GPB851964:GPB851970 GFF851964:GFF851970 FVJ851964:FVJ851970 FLN851964:FLN851970 FBR851964:FBR851970 ERV851964:ERV851970 EHZ851964:EHZ851970 DYD851964:DYD851970 DOH851964:DOH851970 DEL851964:DEL851970 CUP851964:CUP851970 CKT851964:CKT851970 CAX851964:CAX851970 BRB851964:BRB851970 BHF851964:BHF851970 AXJ851964:AXJ851970 ANN851964:ANN851970 ADR851964:ADR851970 TV851964:TV851970 JZ851964:JZ851970 WWL786428:WWL786434 WMP786428:WMP786434 WCT786428:WCT786434 VSX786428:VSX786434 VJB786428:VJB786434 UZF786428:UZF786434 UPJ786428:UPJ786434 UFN786428:UFN786434 TVR786428:TVR786434 TLV786428:TLV786434 TBZ786428:TBZ786434 SSD786428:SSD786434 SIH786428:SIH786434 RYL786428:RYL786434 ROP786428:ROP786434 RET786428:RET786434 QUX786428:QUX786434 QLB786428:QLB786434 QBF786428:QBF786434 PRJ786428:PRJ786434 PHN786428:PHN786434 OXR786428:OXR786434 ONV786428:ONV786434 ODZ786428:ODZ786434 NUD786428:NUD786434 NKH786428:NKH786434 NAL786428:NAL786434 MQP786428:MQP786434 MGT786428:MGT786434 LWX786428:LWX786434 LNB786428:LNB786434 LDF786428:LDF786434 KTJ786428:KTJ786434 KJN786428:KJN786434 JZR786428:JZR786434 JPV786428:JPV786434 JFZ786428:JFZ786434 IWD786428:IWD786434 IMH786428:IMH786434 ICL786428:ICL786434 HSP786428:HSP786434 HIT786428:HIT786434 GYX786428:GYX786434 GPB786428:GPB786434 GFF786428:GFF786434 FVJ786428:FVJ786434 FLN786428:FLN786434 FBR786428:FBR786434 ERV786428:ERV786434 EHZ786428:EHZ786434 DYD786428:DYD786434 DOH786428:DOH786434 DEL786428:DEL786434 CUP786428:CUP786434 CKT786428:CKT786434 CAX786428:CAX786434 BRB786428:BRB786434 BHF786428:BHF786434 AXJ786428:AXJ786434 ANN786428:ANN786434 ADR786428:ADR786434 TV786428:TV786434 JZ786428:JZ786434 WWL720892:WWL720898 WMP720892:WMP720898 WCT720892:WCT720898 VSX720892:VSX720898 VJB720892:VJB720898 UZF720892:UZF720898 UPJ720892:UPJ720898 UFN720892:UFN720898 TVR720892:TVR720898 TLV720892:TLV720898 TBZ720892:TBZ720898 SSD720892:SSD720898 SIH720892:SIH720898 RYL720892:RYL720898 ROP720892:ROP720898 RET720892:RET720898 QUX720892:QUX720898 QLB720892:QLB720898 QBF720892:QBF720898 PRJ720892:PRJ720898 PHN720892:PHN720898 OXR720892:OXR720898 ONV720892:ONV720898 ODZ720892:ODZ720898 NUD720892:NUD720898 NKH720892:NKH720898 NAL720892:NAL720898 MQP720892:MQP720898 MGT720892:MGT720898 LWX720892:LWX720898 LNB720892:LNB720898 LDF720892:LDF720898 KTJ720892:KTJ720898 KJN720892:KJN720898 JZR720892:JZR720898 JPV720892:JPV720898 JFZ720892:JFZ720898 IWD720892:IWD720898 IMH720892:IMH720898 ICL720892:ICL720898 HSP720892:HSP720898 HIT720892:HIT720898 GYX720892:GYX720898 GPB720892:GPB720898 GFF720892:GFF720898 FVJ720892:FVJ720898 FLN720892:FLN720898 FBR720892:FBR720898 ERV720892:ERV720898 EHZ720892:EHZ720898 DYD720892:DYD720898 DOH720892:DOH720898 DEL720892:DEL720898 CUP720892:CUP720898 CKT720892:CKT720898 CAX720892:CAX720898 BRB720892:BRB720898 BHF720892:BHF720898 AXJ720892:AXJ720898 ANN720892:ANN720898 ADR720892:ADR720898 TV720892:TV720898 JZ720892:JZ720898 WWL655356:WWL655362 WMP655356:WMP655362 WCT655356:WCT655362 VSX655356:VSX655362 VJB655356:VJB655362 UZF655356:UZF655362 UPJ655356:UPJ655362 UFN655356:UFN655362 TVR655356:TVR655362 TLV655356:TLV655362 TBZ655356:TBZ655362 SSD655356:SSD655362 SIH655356:SIH655362 RYL655356:RYL655362 ROP655356:ROP655362 RET655356:RET655362 QUX655356:QUX655362 QLB655356:QLB655362 QBF655356:QBF655362 PRJ655356:PRJ655362 PHN655356:PHN655362 OXR655356:OXR655362 ONV655356:ONV655362 ODZ655356:ODZ655362 NUD655356:NUD655362 NKH655356:NKH655362 NAL655356:NAL655362 MQP655356:MQP655362 MGT655356:MGT655362 LWX655356:LWX655362 LNB655356:LNB655362 LDF655356:LDF655362 KTJ655356:KTJ655362 KJN655356:KJN655362 JZR655356:JZR655362 JPV655356:JPV655362 JFZ655356:JFZ655362 IWD655356:IWD655362 IMH655356:IMH655362 ICL655356:ICL655362 HSP655356:HSP655362 HIT655356:HIT655362 GYX655356:GYX655362 GPB655356:GPB655362 GFF655356:GFF655362 FVJ655356:FVJ655362 FLN655356:FLN655362 FBR655356:FBR655362 ERV655356:ERV655362 EHZ655356:EHZ655362 DYD655356:DYD655362 DOH655356:DOH655362 DEL655356:DEL655362 CUP655356:CUP655362 CKT655356:CKT655362 CAX655356:CAX655362 BRB655356:BRB655362 BHF655356:BHF655362 AXJ655356:AXJ655362 ANN655356:ANN655362 ADR655356:ADR655362 TV655356:TV655362 JZ655356:JZ655362 WWL589820:WWL589826 WMP589820:WMP589826 WCT589820:WCT589826 VSX589820:VSX589826 VJB589820:VJB589826 UZF589820:UZF589826 UPJ589820:UPJ589826 UFN589820:UFN589826 TVR589820:TVR589826 TLV589820:TLV589826 TBZ589820:TBZ589826 SSD589820:SSD589826 SIH589820:SIH589826 RYL589820:RYL589826 ROP589820:ROP589826 RET589820:RET589826 QUX589820:QUX589826 QLB589820:QLB589826 QBF589820:QBF589826 PRJ589820:PRJ589826 PHN589820:PHN589826 OXR589820:OXR589826 ONV589820:ONV589826 ODZ589820:ODZ589826 NUD589820:NUD589826 NKH589820:NKH589826 NAL589820:NAL589826 MQP589820:MQP589826 MGT589820:MGT589826 LWX589820:LWX589826 LNB589820:LNB589826 LDF589820:LDF589826 KTJ589820:KTJ589826 KJN589820:KJN589826 JZR589820:JZR589826 JPV589820:JPV589826 JFZ589820:JFZ589826 IWD589820:IWD589826 IMH589820:IMH589826 ICL589820:ICL589826 HSP589820:HSP589826 HIT589820:HIT589826 GYX589820:GYX589826 GPB589820:GPB589826 GFF589820:GFF589826 FVJ589820:FVJ589826 FLN589820:FLN589826 FBR589820:FBR589826 ERV589820:ERV589826 EHZ589820:EHZ589826 DYD589820:DYD589826 DOH589820:DOH589826 DEL589820:DEL589826 CUP589820:CUP589826 CKT589820:CKT589826 CAX589820:CAX589826 BRB589820:BRB589826 BHF589820:BHF589826 AXJ589820:AXJ589826 ANN589820:ANN589826 ADR589820:ADR589826 TV589820:TV589826 JZ589820:JZ589826 WWL524284:WWL524290 WMP524284:WMP524290 WCT524284:WCT524290 VSX524284:VSX524290 VJB524284:VJB524290 UZF524284:UZF524290 UPJ524284:UPJ524290 UFN524284:UFN524290 TVR524284:TVR524290 TLV524284:TLV524290 TBZ524284:TBZ524290 SSD524284:SSD524290 SIH524284:SIH524290 RYL524284:RYL524290 ROP524284:ROP524290 RET524284:RET524290 QUX524284:QUX524290 QLB524284:QLB524290 QBF524284:QBF524290 PRJ524284:PRJ524290 PHN524284:PHN524290 OXR524284:OXR524290 ONV524284:ONV524290 ODZ524284:ODZ524290 NUD524284:NUD524290 NKH524284:NKH524290 NAL524284:NAL524290 MQP524284:MQP524290 MGT524284:MGT524290 LWX524284:LWX524290 LNB524284:LNB524290 LDF524284:LDF524290 KTJ524284:KTJ524290 KJN524284:KJN524290 JZR524284:JZR524290 JPV524284:JPV524290 JFZ524284:JFZ524290 IWD524284:IWD524290 IMH524284:IMH524290 ICL524284:ICL524290 HSP524284:HSP524290 HIT524284:HIT524290 GYX524284:GYX524290 GPB524284:GPB524290 GFF524284:GFF524290 FVJ524284:FVJ524290 FLN524284:FLN524290 FBR524284:FBR524290 ERV524284:ERV524290 EHZ524284:EHZ524290 DYD524284:DYD524290 DOH524284:DOH524290 DEL524284:DEL524290 CUP524284:CUP524290 CKT524284:CKT524290 CAX524284:CAX524290 BRB524284:BRB524290 BHF524284:BHF524290 AXJ524284:AXJ524290 ANN524284:ANN524290 ADR524284:ADR524290 TV524284:TV524290 JZ524284:JZ524290 WWL458748:WWL458754 WMP458748:WMP458754 WCT458748:WCT458754 VSX458748:VSX458754 VJB458748:VJB458754 UZF458748:UZF458754 UPJ458748:UPJ458754 UFN458748:UFN458754 TVR458748:TVR458754 TLV458748:TLV458754 TBZ458748:TBZ458754 SSD458748:SSD458754 SIH458748:SIH458754 RYL458748:RYL458754 ROP458748:ROP458754 RET458748:RET458754 QUX458748:QUX458754 QLB458748:QLB458754 QBF458748:QBF458754 PRJ458748:PRJ458754 PHN458748:PHN458754 OXR458748:OXR458754 ONV458748:ONV458754 ODZ458748:ODZ458754 NUD458748:NUD458754 NKH458748:NKH458754 NAL458748:NAL458754 MQP458748:MQP458754 MGT458748:MGT458754 LWX458748:LWX458754 LNB458748:LNB458754 LDF458748:LDF458754 KTJ458748:KTJ458754 KJN458748:KJN458754 JZR458748:JZR458754 JPV458748:JPV458754 JFZ458748:JFZ458754 IWD458748:IWD458754 IMH458748:IMH458754 ICL458748:ICL458754 HSP458748:HSP458754 HIT458748:HIT458754 GYX458748:GYX458754 GPB458748:GPB458754 GFF458748:GFF458754 FVJ458748:FVJ458754 FLN458748:FLN458754 FBR458748:FBR458754 ERV458748:ERV458754 EHZ458748:EHZ458754 DYD458748:DYD458754 DOH458748:DOH458754 DEL458748:DEL458754 CUP458748:CUP458754 CKT458748:CKT458754 CAX458748:CAX458754 BRB458748:BRB458754 BHF458748:BHF458754 AXJ458748:AXJ458754 ANN458748:ANN458754 ADR458748:ADR458754 TV458748:TV458754 JZ458748:JZ458754 WWL393212:WWL393218 WMP393212:WMP393218 WCT393212:WCT393218 VSX393212:VSX393218 VJB393212:VJB393218 UZF393212:UZF393218 UPJ393212:UPJ393218 UFN393212:UFN393218 TVR393212:TVR393218 TLV393212:TLV393218 TBZ393212:TBZ393218 SSD393212:SSD393218 SIH393212:SIH393218 RYL393212:RYL393218 ROP393212:ROP393218 RET393212:RET393218 QUX393212:QUX393218 QLB393212:QLB393218 QBF393212:QBF393218 PRJ393212:PRJ393218 PHN393212:PHN393218 OXR393212:OXR393218 ONV393212:ONV393218 ODZ393212:ODZ393218 NUD393212:NUD393218 NKH393212:NKH393218 NAL393212:NAL393218 MQP393212:MQP393218 MGT393212:MGT393218 LWX393212:LWX393218 LNB393212:LNB393218 LDF393212:LDF393218 KTJ393212:KTJ393218 KJN393212:KJN393218 JZR393212:JZR393218 JPV393212:JPV393218 JFZ393212:JFZ393218 IWD393212:IWD393218 IMH393212:IMH393218 ICL393212:ICL393218 HSP393212:HSP393218 HIT393212:HIT393218 GYX393212:GYX393218 GPB393212:GPB393218 GFF393212:GFF393218 FVJ393212:FVJ393218 FLN393212:FLN393218 FBR393212:FBR393218 ERV393212:ERV393218 EHZ393212:EHZ393218 DYD393212:DYD393218 DOH393212:DOH393218 DEL393212:DEL393218 CUP393212:CUP393218 CKT393212:CKT393218 CAX393212:CAX393218 BRB393212:BRB393218 BHF393212:BHF393218 AXJ393212:AXJ393218 ANN393212:ANN393218 ADR393212:ADR393218 TV393212:TV393218 JZ393212:JZ393218 WWL327676:WWL327682 WMP327676:WMP327682 WCT327676:WCT327682 VSX327676:VSX327682 VJB327676:VJB327682 UZF327676:UZF327682 UPJ327676:UPJ327682 UFN327676:UFN327682 TVR327676:TVR327682 TLV327676:TLV327682 TBZ327676:TBZ327682 SSD327676:SSD327682 SIH327676:SIH327682 RYL327676:RYL327682 ROP327676:ROP327682 RET327676:RET327682 QUX327676:QUX327682 QLB327676:QLB327682 QBF327676:QBF327682 PRJ327676:PRJ327682 PHN327676:PHN327682 OXR327676:OXR327682 ONV327676:ONV327682 ODZ327676:ODZ327682 NUD327676:NUD327682 NKH327676:NKH327682 NAL327676:NAL327682 MQP327676:MQP327682 MGT327676:MGT327682 LWX327676:LWX327682 LNB327676:LNB327682 LDF327676:LDF327682 KTJ327676:KTJ327682 KJN327676:KJN327682 JZR327676:JZR327682 JPV327676:JPV327682 JFZ327676:JFZ327682 IWD327676:IWD327682 IMH327676:IMH327682 ICL327676:ICL327682 HSP327676:HSP327682 HIT327676:HIT327682 GYX327676:GYX327682 GPB327676:GPB327682 GFF327676:GFF327682 FVJ327676:FVJ327682 FLN327676:FLN327682 FBR327676:FBR327682 ERV327676:ERV327682 EHZ327676:EHZ327682 DYD327676:DYD327682 DOH327676:DOH327682 DEL327676:DEL327682 CUP327676:CUP327682 CKT327676:CKT327682 CAX327676:CAX327682 BRB327676:BRB327682 BHF327676:BHF327682 AXJ327676:AXJ327682 ANN327676:ANN327682 ADR327676:ADR327682 TV327676:TV327682 JZ327676:JZ327682 WWL262140:WWL262146 WMP262140:WMP262146 WCT262140:WCT262146 VSX262140:VSX262146 VJB262140:VJB262146 UZF262140:UZF262146 UPJ262140:UPJ262146 UFN262140:UFN262146 TVR262140:TVR262146 TLV262140:TLV262146 TBZ262140:TBZ262146 SSD262140:SSD262146 SIH262140:SIH262146 RYL262140:RYL262146 ROP262140:ROP262146 RET262140:RET262146 QUX262140:QUX262146 QLB262140:QLB262146 QBF262140:QBF262146 PRJ262140:PRJ262146 PHN262140:PHN262146 OXR262140:OXR262146 ONV262140:ONV262146 ODZ262140:ODZ262146 NUD262140:NUD262146 NKH262140:NKH262146 NAL262140:NAL262146 MQP262140:MQP262146 MGT262140:MGT262146 LWX262140:LWX262146 LNB262140:LNB262146 LDF262140:LDF262146 KTJ262140:KTJ262146 KJN262140:KJN262146 JZR262140:JZR262146 JPV262140:JPV262146 JFZ262140:JFZ262146 IWD262140:IWD262146 IMH262140:IMH262146 ICL262140:ICL262146 HSP262140:HSP262146 HIT262140:HIT262146 GYX262140:GYX262146 GPB262140:GPB262146 GFF262140:GFF262146 FVJ262140:FVJ262146 FLN262140:FLN262146 FBR262140:FBR262146 ERV262140:ERV262146 EHZ262140:EHZ262146 DYD262140:DYD262146 DOH262140:DOH262146 DEL262140:DEL262146 CUP262140:CUP262146 CKT262140:CKT262146 CAX262140:CAX262146 BRB262140:BRB262146 BHF262140:BHF262146 AXJ262140:AXJ262146 ANN262140:ANN262146 ADR262140:ADR262146 TV262140:TV262146 JZ262140:JZ262146 WWL196604:WWL196610 WMP196604:WMP196610 WCT196604:WCT196610 VSX196604:VSX196610 VJB196604:VJB196610 UZF196604:UZF196610 UPJ196604:UPJ196610 UFN196604:UFN196610 TVR196604:TVR196610 TLV196604:TLV196610 TBZ196604:TBZ196610 SSD196604:SSD196610 SIH196604:SIH196610 RYL196604:RYL196610 ROP196604:ROP196610 RET196604:RET196610 QUX196604:QUX196610 QLB196604:QLB196610 QBF196604:QBF196610 PRJ196604:PRJ196610 PHN196604:PHN196610 OXR196604:OXR196610 ONV196604:ONV196610 ODZ196604:ODZ196610 NUD196604:NUD196610 NKH196604:NKH196610 NAL196604:NAL196610 MQP196604:MQP196610 MGT196604:MGT196610 LWX196604:LWX196610 LNB196604:LNB196610 LDF196604:LDF196610 KTJ196604:KTJ196610 KJN196604:KJN196610 JZR196604:JZR196610 JPV196604:JPV196610 JFZ196604:JFZ196610 IWD196604:IWD196610 IMH196604:IMH196610 ICL196604:ICL196610 HSP196604:HSP196610 HIT196604:HIT196610 GYX196604:GYX196610 GPB196604:GPB196610 GFF196604:GFF196610 FVJ196604:FVJ196610 FLN196604:FLN196610 FBR196604:FBR196610 ERV196604:ERV196610 EHZ196604:EHZ196610 DYD196604:DYD196610 DOH196604:DOH196610 DEL196604:DEL196610 CUP196604:CUP196610 CKT196604:CKT196610 CAX196604:CAX196610 BRB196604:BRB196610 BHF196604:BHF196610 AXJ196604:AXJ196610 ANN196604:ANN196610 ADR196604:ADR196610 TV196604:TV196610 JZ196604:JZ196610 WWL131068:WWL131074 WMP131068:WMP131074 WCT131068:WCT131074 VSX131068:VSX131074 VJB131068:VJB131074 UZF131068:UZF131074 UPJ131068:UPJ131074 UFN131068:UFN131074 TVR131068:TVR131074 TLV131068:TLV131074 TBZ131068:TBZ131074 SSD131068:SSD131074 SIH131068:SIH131074 RYL131068:RYL131074 ROP131068:ROP131074 RET131068:RET131074 QUX131068:QUX131074 QLB131068:QLB131074 QBF131068:QBF131074 PRJ131068:PRJ131074 PHN131068:PHN131074 OXR131068:OXR131074 ONV131068:ONV131074 ODZ131068:ODZ131074 NUD131068:NUD131074 NKH131068:NKH131074 NAL131068:NAL131074 MQP131068:MQP131074 MGT131068:MGT131074 LWX131068:LWX131074 LNB131068:LNB131074 LDF131068:LDF131074 KTJ131068:KTJ131074 KJN131068:KJN131074 JZR131068:JZR131074 JPV131068:JPV131074 JFZ131068:JFZ131074 IWD131068:IWD131074 IMH131068:IMH131074 ICL131068:ICL131074 HSP131068:HSP131074 HIT131068:HIT131074 GYX131068:GYX131074 GPB131068:GPB131074 GFF131068:GFF131074 FVJ131068:FVJ131074 FLN131068:FLN131074 FBR131068:FBR131074 ERV131068:ERV131074 EHZ131068:EHZ131074 DYD131068:DYD131074 DOH131068:DOH131074 DEL131068:DEL131074 CUP131068:CUP131074 CKT131068:CKT131074 CAX131068:CAX131074 BRB131068:BRB131074 BHF131068:BHF131074 AXJ131068:AXJ131074 ANN131068:ANN131074 ADR131068:ADR131074 TV131068:TV131074 JZ131068:JZ131074 WWL65532:WWL65538 WMP65532:WMP65538 WCT65532:WCT65538 VSX65532:VSX65538 VJB65532:VJB65538 UZF65532:UZF65538 UPJ65532:UPJ65538 UFN65532:UFN65538 TVR65532:TVR65538 TLV65532:TLV65538 TBZ65532:TBZ65538 SSD65532:SSD65538 SIH65532:SIH65538 RYL65532:RYL65538 ROP65532:ROP65538 RET65532:RET65538 QUX65532:QUX65538 QLB65532:QLB65538 QBF65532:QBF65538 PRJ65532:PRJ65538 PHN65532:PHN65538 OXR65532:OXR65538 ONV65532:ONV65538 ODZ65532:ODZ65538 NUD65532:NUD65538 NKH65532:NKH65538 NAL65532:NAL65538 MQP65532:MQP65538 MGT65532:MGT65538 LWX65532:LWX65538 LNB65532:LNB65538 LDF65532:LDF65538 KTJ65532:KTJ65538 KJN65532:KJN65538 JZR65532:JZR65538 JPV65532:JPV65538 JFZ65532:JFZ65538 IWD65532:IWD65538 IMH65532:IMH65538 ICL65532:ICL65538 HSP65532:HSP65538 HIT65532:HIT65538 GYX65532:GYX65538 GPB65532:GPB65538 GFF65532:GFF65538 FVJ65532:FVJ65538 FLN65532:FLN65538 FBR65532:FBR65538 ERV65532:ERV65538 EHZ65532:EHZ65538 DYD65532:DYD65538 DOH65532:DOH65538 DEL65532:DEL65538 CUP65532:CUP65538 CKT65532:CKT65538 CAX65532:CAX65538 BRB65532:BRB65538 BHF65532:BHF65538 AXJ65532:AXJ65538 ANN65532:ANN65538 ADR65532:ADR65538 TV65532:TV65538 JZ65532:JZ65538 WMP983036:WMP983042 WWT983036:WWT983042 KH65532:KH65538 UD65532:UD65538 ADZ65532:ADZ65538 ANV65532:ANV65538 AXR65532:AXR65538 BHN65532:BHN65538 BRJ65532:BRJ65538 CBF65532:CBF65538 CLB65532:CLB65538 CUX65532:CUX65538 DET65532:DET65538 DOP65532:DOP65538 DYL65532:DYL65538 EIH65532:EIH65538 ESD65532:ESD65538 FBZ65532:FBZ65538 FLV65532:FLV65538 FVR65532:FVR65538 GFN65532:GFN65538 GPJ65532:GPJ65538 GZF65532:GZF65538 HJB65532:HJB65538 HSX65532:HSX65538 ICT65532:ICT65538 IMP65532:IMP65538 IWL65532:IWL65538 JGH65532:JGH65538 JQD65532:JQD65538 JZZ65532:JZZ65538 KJV65532:KJV65538 KTR65532:KTR65538 LDN65532:LDN65538 LNJ65532:LNJ65538 LXF65532:LXF65538 MHB65532:MHB65538 MQX65532:MQX65538 NAT65532:NAT65538 NKP65532:NKP65538 NUL65532:NUL65538 OEH65532:OEH65538 OOD65532:OOD65538 OXZ65532:OXZ65538 PHV65532:PHV65538 PRR65532:PRR65538 QBN65532:QBN65538 QLJ65532:QLJ65538 QVF65532:QVF65538 RFB65532:RFB65538 ROX65532:ROX65538 RYT65532:RYT65538 SIP65532:SIP65538 SSL65532:SSL65538 TCH65532:TCH65538 TMD65532:TMD65538 TVZ65532:TVZ65538 UFV65532:UFV65538 UPR65532:UPR65538 UZN65532:UZN65538 VJJ65532:VJJ65538 VTF65532:VTF65538 WDB65532:WDB65538 WMX65532:WMX65538 WWT65532:WWT65538 KH131068:KH131074 UD131068:UD131074 ADZ131068:ADZ131074 ANV131068:ANV131074 AXR131068:AXR131074 BHN131068:BHN131074 BRJ131068:BRJ131074 CBF131068:CBF131074 CLB131068:CLB131074 CUX131068:CUX131074 DET131068:DET131074 DOP131068:DOP131074 DYL131068:DYL131074 EIH131068:EIH131074 ESD131068:ESD131074 FBZ131068:FBZ131074 FLV131068:FLV131074 FVR131068:FVR131074 GFN131068:GFN131074 GPJ131068:GPJ131074 GZF131068:GZF131074 HJB131068:HJB131074 HSX131068:HSX131074 ICT131068:ICT131074 IMP131068:IMP131074 IWL131068:IWL131074 JGH131068:JGH131074 JQD131068:JQD131074 JZZ131068:JZZ131074 KJV131068:KJV131074 KTR131068:KTR131074 LDN131068:LDN131074 LNJ131068:LNJ131074 LXF131068:LXF131074 MHB131068:MHB131074 MQX131068:MQX131074 NAT131068:NAT131074 NKP131068:NKP131074 NUL131068:NUL131074 OEH131068:OEH131074 OOD131068:OOD131074 OXZ131068:OXZ131074 PHV131068:PHV131074 PRR131068:PRR131074 QBN131068:QBN131074 QLJ131068:QLJ131074 QVF131068:QVF131074 RFB131068:RFB131074 ROX131068:ROX131074 RYT131068:RYT131074 SIP131068:SIP131074 SSL131068:SSL131074 TCH131068:TCH131074 TMD131068:TMD131074 TVZ131068:TVZ131074 UFV131068:UFV131074 UPR131068:UPR131074 UZN131068:UZN131074 VJJ131068:VJJ131074 VTF131068:VTF131074 WDB131068:WDB131074 WMX131068:WMX131074 WWT131068:WWT131074 KH196604:KH196610 UD196604:UD196610 ADZ196604:ADZ196610 ANV196604:ANV196610 AXR196604:AXR196610 BHN196604:BHN196610 BRJ196604:BRJ196610 CBF196604:CBF196610 CLB196604:CLB196610 CUX196604:CUX196610 DET196604:DET196610 DOP196604:DOP196610 DYL196604:DYL196610 EIH196604:EIH196610 ESD196604:ESD196610 FBZ196604:FBZ196610 FLV196604:FLV196610 FVR196604:FVR196610 GFN196604:GFN196610 GPJ196604:GPJ196610 GZF196604:GZF196610 HJB196604:HJB196610 HSX196604:HSX196610 ICT196604:ICT196610 IMP196604:IMP196610 IWL196604:IWL196610 JGH196604:JGH196610 JQD196604:JQD196610 JZZ196604:JZZ196610 KJV196604:KJV196610 KTR196604:KTR196610 LDN196604:LDN196610 LNJ196604:LNJ196610 LXF196604:LXF196610 MHB196604:MHB196610 MQX196604:MQX196610 NAT196604:NAT196610 NKP196604:NKP196610 NUL196604:NUL196610 OEH196604:OEH196610 OOD196604:OOD196610 OXZ196604:OXZ196610 PHV196604:PHV196610 PRR196604:PRR196610 QBN196604:QBN196610 QLJ196604:QLJ196610 QVF196604:QVF196610 RFB196604:RFB196610 ROX196604:ROX196610 RYT196604:RYT196610 SIP196604:SIP196610 SSL196604:SSL196610 TCH196604:TCH196610 TMD196604:TMD196610 TVZ196604:TVZ196610 UFV196604:UFV196610 UPR196604:UPR196610 UZN196604:UZN196610 VJJ196604:VJJ196610 VTF196604:VTF196610 WDB196604:WDB196610 WMX196604:WMX196610 WWT196604:WWT196610 KH262140:KH262146 UD262140:UD262146 ADZ262140:ADZ262146 ANV262140:ANV262146 AXR262140:AXR262146 BHN262140:BHN262146 BRJ262140:BRJ262146 CBF262140:CBF262146 CLB262140:CLB262146 CUX262140:CUX262146 DET262140:DET262146 DOP262140:DOP262146 DYL262140:DYL262146 EIH262140:EIH262146 ESD262140:ESD262146 FBZ262140:FBZ262146 FLV262140:FLV262146 FVR262140:FVR262146 GFN262140:GFN262146 GPJ262140:GPJ262146 GZF262140:GZF262146 HJB262140:HJB262146 HSX262140:HSX262146 ICT262140:ICT262146 IMP262140:IMP262146 IWL262140:IWL262146 JGH262140:JGH262146 JQD262140:JQD262146 JZZ262140:JZZ262146 KJV262140:KJV262146 KTR262140:KTR262146 LDN262140:LDN262146 LNJ262140:LNJ262146 LXF262140:LXF262146 MHB262140:MHB262146 MQX262140:MQX262146 NAT262140:NAT262146 NKP262140:NKP262146 NUL262140:NUL262146 OEH262140:OEH262146 OOD262140:OOD262146 OXZ262140:OXZ262146 PHV262140:PHV262146 PRR262140:PRR262146 QBN262140:QBN262146 QLJ262140:QLJ262146 QVF262140:QVF262146 RFB262140:RFB262146 ROX262140:ROX262146 RYT262140:RYT262146 SIP262140:SIP262146 SSL262140:SSL262146 TCH262140:TCH262146 TMD262140:TMD262146 TVZ262140:TVZ262146 UFV262140:UFV262146 UPR262140:UPR262146 UZN262140:UZN262146 VJJ262140:VJJ262146 VTF262140:VTF262146 WDB262140:WDB262146 WMX262140:WMX262146 WWT262140:WWT262146 KH327676:KH327682 UD327676:UD327682 ADZ327676:ADZ327682 ANV327676:ANV327682 AXR327676:AXR327682 BHN327676:BHN327682 BRJ327676:BRJ327682 CBF327676:CBF327682 CLB327676:CLB327682 CUX327676:CUX327682 DET327676:DET327682 DOP327676:DOP327682 DYL327676:DYL327682 EIH327676:EIH327682 ESD327676:ESD327682 FBZ327676:FBZ327682 FLV327676:FLV327682 FVR327676:FVR327682 GFN327676:GFN327682 GPJ327676:GPJ327682 GZF327676:GZF327682 HJB327676:HJB327682 HSX327676:HSX327682 ICT327676:ICT327682 IMP327676:IMP327682 IWL327676:IWL327682 JGH327676:JGH327682 JQD327676:JQD327682 JZZ327676:JZZ327682 KJV327676:KJV327682 KTR327676:KTR327682 LDN327676:LDN327682 LNJ327676:LNJ327682 LXF327676:LXF327682 MHB327676:MHB327682 MQX327676:MQX327682 NAT327676:NAT327682 NKP327676:NKP327682 NUL327676:NUL327682 OEH327676:OEH327682 OOD327676:OOD327682 OXZ327676:OXZ327682 PHV327676:PHV327682 PRR327676:PRR327682 QBN327676:QBN327682 QLJ327676:QLJ327682 QVF327676:QVF327682 RFB327676:RFB327682 ROX327676:ROX327682 RYT327676:RYT327682 SIP327676:SIP327682 SSL327676:SSL327682 TCH327676:TCH327682 TMD327676:TMD327682 TVZ327676:TVZ327682 UFV327676:UFV327682 UPR327676:UPR327682 UZN327676:UZN327682 VJJ327676:VJJ327682 VTF327676:VTF327682 WDB327676:WDB327682 WMX327676:WMX327682 WWT327676:WWT327682 KH393212:KH393218 UD393212:UD393218 ADZ393212:ADZ393218 ANV393212:ANV393218 AXR393212:AXR393218 BHN393212:BHN393218 BRJ393212:BRJ393218 CBF393212:CBF393218 CLB393212:CLB393218 CUX393212:CUX393218 DET393212:DET393218 DOP393212:DOP393218 DYL393212:DYL393218 EIH393212:EIH393218 ESD393212:ESD393218 FBZ393212:FBZ393218 FLV393212:FLV393218 FVR393212:FVR393218 GFN393212:GFN393218 GPJ393212:GPJ393218 GZF393212:GZF393218 HJB393212:HJB393218 HSX393212:HSX393218 ICT393212:ICT393218 IMP393212:IMP393218 IWL393212:IWL393218 JGH393212:JGH393218 JQD393212:JQD393218 JZZ393212:JZZ393218 KJV393212:KJV393218 KTR393212:KTR393218 LDN393212:LDN393218 LNJ393212:LNJ393218 LXF393212:LXF393218 MHB393212:MHB393218 MQX393212:MQX393218 NAT393212:NAT393218 NKP393212:NKP393218 NUL393212:NUL393218 OEH393212:OEH393218 OOD393212:OOD393218 OXZ393212:OXZ393218 PHV393212:PHV393218 PRR393212:PRR393218 QBN393212:QBN393218 QLJ393212:QLJ393218 QVF393212:QVF393218 RFB393212:RFB393218 ROX393212:ROX393218 RYT393212:RYT393218 SIP393212:SIP393218 SSL393212:SSL393218 TCH393212:TCH393218 TMD393212:TMD393218 TVZ393212:TVZ393218 UFV393212:UFV393218 UPR393212:UPR393218 UZN393212:UZN393218 VJJ393212:VJJ393218 VTF393212:VTF393218 WDB393212:WDB393218 WMX393212:WMX393218 WWT393212:WWT393218 KH458748:KH458754 UD458748:UD458754 ADZ458748:ADZ458754 ANV458748:ANV458754 AXR458748:AXR458754 BHN458748:BHN458754 BRJ458748:BRJ458754 CBF458748:CBF458754 CLB458748:CLB458754 CUX458748:CUX458754 DET458748:DET458754 DOP458748:DOP458754 DYL458748:DYL458754 EIH458748:EIH458754 ESD458748:ESD458754 FBZ458748:FBZ458754 FLV458748:FLV458754 FVR458748:FVR458754 GFN458748:GFN458754 GPJ458748:GPJ458754 GZF458748:GZF458754 HJB458748:HJB458754 HSX458748:HSX458754 ICT458748:ICT458754 IMP458748:IMP458754 IWL458748:IWL458754 JGH458748:JGH458754 JQD458748:JQD458754 JZZ458748:JZZ458754 KJV458748:KJV458754 KTR458748:KTR458754 LDN458748:LDN458754 LNJ458748:LNJ458754 LXF458748:LXF458754 MHB458748:MHB458754 MQX458748:MQX458754 NAT458748:NAT458754 NKP458748:NKP458754 NUL458748:NUL458754 OEH458748:OEH458754 OOD458748:OOD458754 OXZ458748:OXZ458754 PHV458748:PHV458754 PRR458748:PRR458754 QBN458748:QBN458754 QLJ458748:QLJ458754 QVF458748:QVF458754 RFB458748:RFB458754 ROX458748:ROX458754 RYT458748:RYT458754 SIP458748:SIP458754 SSL458748:SSL458754 TCH458748:TCH458754 TMD458748:TMD458754 TVZ458748:TVZ458754 UFV458748:UFV458754 UPR458748:UPR458754 UZN458748:UZN458754 VJJ458748:VJJ458754 VTF458748:VTF458754 WDB458748:WDB458754 WMX458748:WMX458754 WWT458748:WWT458754 KH524284:KH524290 UD524284:UD524290 ADZ524284:ADZ524290 ANV524284:ANV524290 AXR524284:AXR524290 BHN524284:BHN524290 BRJ524284:BRJ524290 CBF524284:CBF524290 CLB524284:CLB524290 CUX524284:CUX524290 DET524284:DET524290 DOP524284:DOP524290 DYL524284:DYL524290 EIH524284:EIH524290 ESD524284:ESD524290 FBZ524284:FBZ524290 FLV524284:FLV524290 FVR524284:FVR524290 GFN524284:GFN524290 GPJ524284:GPJ524290 GZF524284:GZF524290 HJB524284:HJB524290 HSX524284:HSX524290 ICT524284:ICT524290 IMP524284:IMP524290 IWL524284:IWL524290 JGH524284:JGH524290 JQD524284:JQD524290 JZZ524284:JZZ524290 KJV524284:KJV524290 KTR524284:KTR524290 LDN524284:LDN524290 LNJ524284:LNJ524290 LXF524284:LXF524290 MHB524284:MHB524290 MQX524284:MQX524290 NAT524284:NAT524290 NKP524284:NKP524290 NUL524284:NUL524290 OEH524284:OEH524290 OOD524284:OOD524290 OXZ524284:OXZ524290 PHV524284:PHV524290 PRR524284:PRR524290 QBN524284:QBN524290 QLJ524284:QLJ524290 QVF524284:QVF524290 RFB524284:RFB524290 ROX524284:ROX524290 RYT524284:RYT524290 SIP524284:SIP524290 SSL524284:SSL524290 TCH524284:TCH524290 TMD524284:TMD524290 TVZ524284:TVZ524290 UFV524284:UFV524290 UPR524284:UPR524290 UZN524284:UZN524290 VJJ524284:VJJ524290 VTF524284:VTF524290 WDB524284:WDB524290 WMX524284:WMX524290 WWT524284:WWT524290 KH589820:KH589826 UD589820:UD589826 ADZ589820:ADZ589826 ANV589820:ANV589826 AXR589820:AXR589826 BHN589820:BHN589826 BRJ589820:BRJ589826 CBF589820:CBF589826 CLB589820:CLB589826 CUX589820:CUX589826 DET589820:DET589826 DOP589820:DOP589826 DYL589820:DYL589826 EIH589820:EIH589826 ESD589820:ESD589826 FBZ589820:FBZ589826 FLV589820:FLV589826 FVR589820:FVR589826 GFN589820:GFN589826 GPJ589820:GPJ589826 GZF589820:GZF589826 HJB589820:HJB589826 HSX589820:HSX589826 ICT589820:ICT589826 IMP589820:IMP589826 IWL589820:IWL589826 JGH589820:JGH589826 JQD589820:JQD589826 JZZ589820:JZZ589826 KJV589820:KJV589826 KTR589820:KTR589826 LDN589820:LDN589826 LNJ589820:LNJ589826 LXF589820:LXF589826 MHB589820:MHB589826 MQX589820:MQX589826 NAT589820:NAT589826 NKP589820:NKP589826 NUL589820:NUL589826 OEH589820:OEH589826 OOD589820:OOD589826 OXZ589820:OXZ589826 PHV589820:PHV589826 PRR589820:PRR589826 QBN589820:QBN589826 QLJ589820:QLJ589826 QVF589820:QVF589826 RFB589820:RFB589826 ROX589820:ROX589826 RYT589820:RYT589826 SIP589820:SIP589826 SSL589820:SSL589826 TCH589820:TCH589826 TMD589820:TMD589826 TVZ589820:TVZ589826 UFV589820:UFV589826 UPR589820:UPR589826 UZN589820:UZN589826 VJJ589820:VJJ589826 VTF589820:VTF589826 WDB589820:WDB589826 WMX589820:WMX589826 WWT589820:WWT589826 KH655356:KH655362 UD655356:UD655362 ADZ655356:ADZ655362 ANV655356:ANV655362 AXR655356:AXR655362 BHN655356:BHN655362 BRJ655356:BRJ655362 CBF655356:CBF655362 CLB655356:CLB655362 CUX655356:CUX655362 DET655356:DET655362 DOP655356:DOP655362 DYL655356:DYL655362 EIH655356:EIH655362 ESD655356:ESD655362 FBZ655356:FBZ655362 FLV655356:FLV655362 FVR655356:FVR655362 GFN655356:GFN655362 GPJ655356:GPJ655362 GZF655356:GZF655362 HJB655356:HJB655362 HSX655356:HSX655362 ICT655356:ICT655362 IMP655356:IMP655362 IWL655356:IWL655362 JGH655356:JGH655362 JQD655356:JQD655362 JZZ655356:JZZ655362 KJV655356:KJV655362 KTR655356:KTR655362 LDN655356:LDN655362 LNJ655356:LNJ655362 LXF655356:LXF655362 MHB655356:MHB655362 MQX655356:MQX655362 NAT655356:NAT655362 NKP655356:NKP655362 NUL655356:NUL655362 OEH655356:OEH655362 OOD655356:OOD655362 OXZ655356:OXZ655362 PHV655356:PHV655362 PRR655356:PRR655362 QBN655356:QBN655362 QLJ655356:QLJ655362 QVF655356:QVF655362 RFB655356:RFB655362 ROX655356:ROX655362 RYT655356:RYT655362 SIP655356:SIP655362 SSL655356:SSL655362 TCH655356:TCH655362 TMD655356:TMD655362 TVZ655356:TVZ655362 UFV655356:UFV655362 UPR655356:UPR655362 UZN655356:UZN655362 VJJ655356:VJJ655362 VTF655356:VTF655362 WDB655356:WDB655362 WMX655356:WMX655362 WWT655356:WWT655362 KH720892:KH720898 UD720892:UD720898 ADZ720892:ADZ720898 ANV720892:ANV720898 AXR720892:AXR720898 BHN720892:BHN720898 BRJ720892:BRJ720898 CBF720892:CBF720898 CLB720892:CLB720898 CUX720892:CUX720898 DET720892:DET720898 DOP720892:DOP720898 DYL720892:DYL720898 EIH720892:EIH720898 ESD720892:ESD720898 FBZ720892:FBZ720898 FLV720892:FLV720898 FVR720892:FVR720898 GFN720892:GFN720898 GPJ720892:GPJ720898 GZF720892:GZF720898 HJB720892:HJB720898 HSX720892:HSX720898 ICT720892:ICT720898 IMP720892:IMP720898 IWL720892:IWL720898 JGH720892:JGH720898 JQD720892:JQD720898 JZZ720892:JZZ720898 KJV720892:KJV720898 KTR720892:KTR720898 LDN720892:LDN720898 LNJ720892:LNJ720898 LXF720892:LXF720898 MHB720892:MHB720898 MQX720892:MQX720898 NAT720892:NAT720898 NKP720892:NKP720898 NUL720892:NUL720898 OEH720892:OEH720898 OOD720892:OOD720898 OXZ720892:OXZ720898 PHV720892:PHV720898 PRR720892:PRR720898 QBN720892:QBN720898 QLJ720892:QLJ720898 QVF720892:QVF720898 RFB720892:RFB720898 ROX720892:ROX720898 RYT720892:RYT720898 SIP720892:SIP720898 SSL720892:SSL720898 TCH720892:TCH720898 TMD720892:TMD720898 TVZ720892:TVZ720898 UFV720892:UFV720898 UPR720892:UPR720898 UZN720892:UZN720898 VJJ720892:VJJ720898 VTF720892:VTF720898 WDB720892:WDB720898 WMX720892:WMX720898 WWT720892:WWT720898 KH786428:KH786434 UD786428:UD786434 ADZ786428:ADZ786434 ANV786428:ANV786434 AXR786428:AXR786434 BHN786428:BHN786434 BRJ786428:BRJ786434 CBF786428:CBF786434 CLB786428:CLB786434 CUX786428:CUX786434 DET786428:DET786434 DOP786428:DOP786434 DYL786428:DYL786434 EIH786428:EIH786434 ESD786428:ESD786434 FBZ786428:FBZ786434 FLV786428:FLV786434 FVR786428:FVR786434 GFN786428:GFN786434 GPJ786428:GPJ786434 GZF786428:GZF786434 HJB786428:HJB786434 HSX786428:HSX786434 ICT786428:ICT786434 IMP786428:IMP786434 IWL786428:IWL786434 JGH786428:JGH786434 JQD786428:JQD786434 JZZ786428:JZZ786434 KJV786428:KJV786434 KTR786428:KTR786434 LDN786428:LDN786434 LNJ786428:LNJ786434 LXF786428:LXF786434 MHB786428:MHB786434 MQX786428:MQX786434 NAT786428:NAT786434 NKP786428:NKP786434 NUL786428:NUL786434 OEH786428:OEH786434 OOD786428:OOD786434 OXZ786428:OXZ786434 PHV786428:PHV786434 PRR786428:PRR786434 QBN786428:QBN786434 QLJ786428:QLJ786434 QVF786428:QVF786434 RFB786428:RFB786434 ROX786428:ROX786434 RYT786428:RYT786434 SIP786428:SIP786434 SSL786428:SSL786434 TCH786428:TCH786434 TMD786428:TMD786434 TVZ786428:TVZ786434 UFV786428:UFV786434 UPR786428:UPR786434 UZN786428:UZN786434 VJJ786428:VJJ786434 VTF786428:VTF786434 WDB786428:WDB786434 WMX786428:WMX786434 WWT786428:WWT786434 KH851964:KH851970 UD851964:UD851970 ADZ851964:ADZ851970 ANV851964:ANV851970 AXR851964:AXR851970 BHN851964:BHN851970 BRJ851964:BRJ851970 CBF851964:CBF851970 CLB851964:CLB851970 CUX851964:CUX851970 DET851964:DET851970 DOP851964:DOP851970 DYL851964:DYL851970 EIH851964:EIH851970 ESD851964:ESD851970 FBZ851964:FBZ851970 FLV851964:FLV851970 FVR851964:FVR851970 GFN851964:GFN851970 GPJ851964:GPJ851970 GZF851964:GZF851970 HJB851964:HJB851970 HSX851964:HSX851970 ICT851964:ICT851970 IMP851964:IMP851970 IWL851964:IWL851970 JGH851964:JGH851970 JQD851964:JQD851970 JZZ851964:JZZ851970 KJV851964:KJV851970 KTR851964:KTR851970 LDN851964:LDN851970 LNJ851964:LNJ851970 LXF851964:LXF851970 MHB851964:MHB851970 MQX851964:MQX851970 NAT851964:NAT851970 NKP851964:NKP851970 NUL851964:NUL851970 OEH851964:OEH851970 OOD851964:OOD851970 OXZ851964:OXZ851970 PHV851964:PHV851970 PRR851964:PRR851970 QBN851964:QBN851970 QLJ851964:QLJ851970 QVF851964:QVF851970 RFB851964:RFB851970 ROX851964:ROX851970 RYT851964:RYT851970 SIP851964:SIP851970 SSL851964:SSL851970 TCH851964:TCH851970 TMD851964:TMD851970 TVZ851964:TVZ851970 UFV851964:UFV851970 UPR851964:UPR851970 UZN851964:UZN851970 VJJ851964:VJJ851970 VTF851964:VTF851970 WDB851964:WDB851970 WMX851964:WMX851970 WWT851964:WWT851970 KH917500:KH917506 UD917500:UD917506 ADZ917500:ADZ917506 ANV917500:ANV917506 AXR917500:AXR917506 BHN917500:BHN917506 BRJ917500:BRJ917506 CBF917500:CBF917506 CLB917500:CLB917506 CUX917500:CUX917506 DET917500:DET917506 DOP917500:DOP917506 DYL917500:DYL917506 EIH917500:EIH917506 ESD917500:ESD917506 FBZ917500:FBZ917506 FLV917500:FLV917506 FVR917500:FVR917506 GFN917500:GFN917506 GPJ917500:GPJ917506 GZF917500:GZF917506 HJB917500:HJB917506 HSX917500:HSX917506 ICT917500:ICT917506 IMP917500:IMP917506 IWL917500:IWL917506 JGH917500:JGH917506 JQD917500:JQD917506 JZZ917500:JZZ917506 KJV917500:KJV917506 KTR917500:KTR917506 LDN917500:LDN917506 LNJ917500:LNJ917506 LXF917500:LXF917506 MHB917500:MHB917506 MQX917500:MQX917506 NAT917500:NAT917506 NKP917500:NKP917506 NUL917500:NUL917506 OEH917500:OEH917506 OOD917500:OOD917506 OXZ917500:OXZ917506 PHV917500:PHV917506 PRR917500:PRR917506 QBN917500:QBN917506 QLJ917500:QLJ917506 QVF917500:QVF917506 RFB917500:RFB917506 ROX917500:ROX917506 RYT917500:RYT917506 SIP917500:SIP917506 SSL917500:SSL917506 TCH917500:TCH917506 TMD917500:TMD917506 TVZ917500:TVZ917506 UFV917500:UFV917506 UPR917500:UPR917506 UZN917500:UZN917506 VJJ917500:VJJ917506 VTF917500:VTF917506 WDB917500:WDB917506 WMX917500:WMX917506 WWT917500:WWT917506 KH983036:KH983042 UD983036:UD983042 ADZ983036:ADZ983042 ANV983036:ANV983042 AXR983036:AXR983042 BHN983036:BHN983042 BRJ983036:BRJ983042 CBF983036:CBF983042 CLB983036:CLB983042 CUX983036:CUX983042 DET983036:DET983042 DOP983036:DOP983042 DYL983036:DYL983042 EIH983036:EIH983042 ESD983036:ESD983042 FBZ983036:FBZ983042 FLV983036:FLV983042 FVR983036:FVR983042 GFN983036:GFN983042 GPJ983036:GPJ983042 GZF983036:GZF983042 HJB983036:HJB983042 HSX983036:HSX983042 ICT983036:ICT983042 IMP983036:IMP983042 IWL983036:IWL983042 JGH983036:JGH983042 JQD983036:JQD983042 JZZ983036:JZZ983042 KJV983036:KJV983042 KTR983036:KTR983042 LDN983036:LDN983042 LNJ983036:LNJ983042 LXF983036:LXF983042 MHB983036:MHB983042 MQX983036:MQX983042 NAT983036:NAT983042 NKP983036:NKP983042 NUL983036:NUL983042 OEH983036:OEH983042 OOD983036:OOD983042 OXZ983036:OXZ983042 PHV983036:PHV983042 PRR983036:PRR983042 QBN983036:QBN983042 QLJ983036:QLJ983042 QVF983036:QVF983042 RFB983036:RFB983042 ROX983036:ROX983042 RYT983036:RYT983042 SIP983036:SIP983042 SSL983036:SSL983042 TCH983036:TCH983042 TMD983036:TMD983042 TVZ983036:TVZ983042 UFV983036:UFV983042 UPR983036:UPR983042 UZN983036:UZN983042 VJJ983036:VJJ983042 VTF983036:VTF983042 WDB983036:WDB983042 WMX983036:WMX983042 WWE983036:WWE983042 JS65532:JS65538 TO65532:TO65538 ADK65532:ADK65538 ANG65532:ANG65538 AXC65532:AXC65538 BGY65532:BGY65538 BQU65532:BQU65538 CAQ65532:CAQ65538 CKM65532:CKM65538 CUI65532:CUI65538 DEE65532:DEE65538 DOA65532:DOA65538 DXW65532:DXW65538 EHS65532:EHS65538 ERO65532:ERO65538 FBK65532:FBK65538 FLG65532:FLG65538 FVC65532:FVC65538 GEY65532:GEY65538 GOU65532:GOU65538 GYQ65532:GYQ65538 HIM65532:HIM65538 HSI65532:HSI65538 ICE65532:ICE65538 IMA65532:IMA65538 IVW65532:IVW65538 JFS65532:JFS65538 JPO65532:JPO65538 JZK65532:JZK65538 KJG65532:KJG65538 KTC65532:KTC65538 LCY65532:LCY65538 LMU65532:LMU65538 LWQ65532:LWQ65538 MGM65532:MGM65538 MQI65532:MQI65538 NAE65532:NAE65538 NKA65532:NKA65538 NTW65532:NTW65538 ODS65532:ODS65538 ONO65532:ONO65538 OXK65532:OXK65538 PHG65532:PHG65538 PRC65532:PRC65538 QAY65532:QAY65538 QKU65532:QKU65538 QUQ65532:QUQ65538 REM65532:REM65538 ROI65532:ROI65538 RYE65532:RYE65538 SIA65532:SIA65538 SRW65532:SRW65538 TBS65532:TBS65538 TLO65532:TLO65538 TVK65532:TVK65538 UFG65532:UFG65538 UPC65532:UPC65538 UYY65532:UYY65538 VIU65532:VIU65538 VSQ65532:VSQ65538 WCM65532:WCM65538 WMI65532:WMI65538 WWE65532:WWE65538 JS131068:JS131074 TO131068:TO131074 ADK131068:ADK131074 ANG131068:ANG131074 AXC131068:AXC131074 BGY131068:BGY131074 BQU131068:BQU131074 CAQ131068:CAQ131074 CKM131068:CKM131074 CUI131068:CUI131074 DEE131068:DEE131074 DOA131068:DOA131074 DXW131068:DXW131074 EHS131068:EHS131074 ERO131068:ERO131074 FBK131068:FBK131074 FLG131068:FLG131074 FVC131068:FVC131074 GEY131068:GEY131074 GOU131068:GOU131074 GYQ131068:GYQ131074 HIM131068:HIM131074 HSI131068:HSI131074 ICE131068:ICE131074 IMA131068:IMA131074 IVW131068:IVW131074 JFS131068:JFS131074 JPO131068:JPO131074 JZK131068:JZK131074 KJG131068:KJG131074 KTC131068:KTC131074 LCY131068:LCY131074 LMU131068:LMU131074 LWQ131068:LWQ131074 MGM131068:MGM131074 MQI131068:MQI131074 NAE131068:NAE131074 NKA131068:NKA131074 NTW131068:NTW131074 ODS131068:ODS131074 ONO131068:ONO131074 OXK131068:OXK131074 PHG131068:PHG131074 PRC131068:PRC131074 QAY131068:QAY131074 QKU131068:QKU131074 QUQ131068:QUQ131074 REM131068:REM131074 ROI131068:ROI131074 RYE131068:RYE131074 SIA131068:SIA131074 SRW131068:SRW131074 TBS131068:TBS131074 TLO131068:TLO131074 TVK131068:TVK131074 UFG131068:UFG131074 UPC131068:UPC131074 UYY131068:UYY131074 VIU131068:VIU131074 VSQ131068:VSQ131074 WCM131068:WCM131074 WMI131068:WMI131074 WWE131068:WWE131074 JS196604:JS196610 TO196604:TO196610 ADK196604:ADK196610 ANG196604:ANG196610 AXC196604:AXC196610 BGY196604:BGY196610 BQU196604:BQU196610 CAQ196604:CAQ196610 CKM196604:CKM196610 CUI196604:CUI196610 DEE196604:DEE196610 DOA196604:DOA196610 DXW196604:DXW196610 EHS196604:EHS196610 ERO196604:ERO196610 FBK196604:FBK196610 FLG196604:FLG196610 FVC196604:FVC196610 GEY196604:GEY196610 GOU196604:GOU196610 GYQ196604:GYQ196610 HIM196604:HIM196610 HSI196604:HSI196610 ICE196604:ICE196610 IMA196604:IMA196610 IVW196604:IVW196610 JFS196604:JFS196610 JPO196604:JPO196610 JZK196604:JZK196610 KJG196604:KJG196610 KTC196604:KTC196610 LCY196604:LCY196610 LMU196604:LMU196610 LWQ196604:LWQ196610 MGM196604:MGM196610 MQI196604:MQI196610 NAE196604:NAE196610 NKA196604:NKA196610 NTW196604:NTW196610 ODS196604:ODS196610 ONO196604:ONO196610 OXK196604:OXK196610 PHG196604:PHG196610 PRC196604:PRC196610 QAY196604:QAY196610 QKU196604:QKU196610 QUQ196604:QUQ196610 REM196604:REM196610 ROI196604:ROI196610 RYE196604:RYE196610 SIA196604:SIA196610 SRW196604:SRW196610 TBS196604:TBS196610 TLO196604:TLO196610 TVK196604:TVK196610 UFG196604:UFG196610 UPC196604:UPC196610 UYY196604:UYY196610 VIU196604:VIU196610 VSQ196604:VSQ196610 WCM196604:WCM196610 WMI196604:WMI196610 WWE196604:WWE196610 JS262140:JS262146 TO262140:TO262146 ADK262140:ADK262146 ANG262140:ANG262146 AXC262140:AXC262146 BGY262140:BGY262146 BQU262140:BQU262146 CAQ262140:CAQ262146 CKM262140:CKM262146 CUI262140:CUI262146 DEE262140:DEE262146 DOA262140:DOA262146 DXW262140:DXW262146 EHS262140:EHS262146 ERO262140:ERO262146 FBK262140:FBK262146 FLG262140:FLG262146 FVC262140:FVC262146 GEY262140:GEY262146 GOU262140:GOU262146 GYQ262140:GYQ262146 HIM262140:HIM262146 HSI262140:HSI262146 ICE262140:ICE262146 IMA262140:IMA262146 IVW262140:IVW262146 JFS262140:JFS262146 JPO262140:JPO262146 JZK262140:JZK262146 KJG262140:KJG262146 KTC262140:KTC262146 LCY262140:LCY262146 LMU262140:LMU262146 LWQ262140:LWQ262146 MGM262140:MGM262146 MQI262140:MQI262146 NAE262140:NAE262146 NKA262140:NKA262146 NTW262140:NTW262146 ODS262140:ODS262146 ONO262140:ONO262146 OXK262140:OXK262146 PHG262140:PHG262146 PRC262140:PRC262146 QAY262140:QAY262146 QKU262140:QKU262146 QUQ262140:QUQ262146 REM262140:REM262146 ROI262140:ROI262146 RYE262140:RYE262146 SIA262140:SIA262146 SRW262140:SRW262146 TBS262140:TBS262146 TLO262140:TLO262146 TVK262140:TVK262146 UFG262140:UFG262146 UPC262140:UPC262146 UYY262140:UYY262146 VIU262140:VIU262146 VSQ262140:VSQ262146 WCM262140:WCM262146 WMI262140:WMI262146 WWE262140:WWE262146 JS327676:JS327682 TO327676:TO327682 ADK327676:ADK327682 ANG327676:ANG327682 AXC327676:AXC327682 BGY327676:BGY327682 BQU327676:BQU327682 CAQ327676:CAQ327682 CKM327676:CKM327682 CUI327676:CUI327682 DEE327676:DEE327682 DOA327676:DOA327682 DXW327676:DXW327682 EHS327676:EHS327682 ERO327676:ERO327682 FBK327676:FBK327682 FLG327676:FLG327682 FVC327676:FVC327682 GEY327676:GEY327682 GOU327676:GOU327682 GYQ327676:GYQ327682 HIM327676:HIM327682 HSI327676:HSI327682 ICE327676:ICE327682 IMA327676:IMA327682 IVW327676:IVW327682 JFS327676:JFS327682 JPO327676:JPO327682 JZK327676:JZK327682 KJG327676:KJG327682 KTC327676:KTC327682 LCY327676:LCY327682 LMU327676:LMU327682 LWQ327676:LWQ327682 MGM327676:MGM327682 MQI327676:MQI327682 NAE327676:NAE327682 NKA327676:NKA327682 NTW327676:NTW327682 ODS327676:ODS327682 ONO327676:ONO327682 OXK327676:OXK327682 PHG327676:PHG327682 PRC327676:PRC327682 QAY327676:QAY327682 QKU327676:QKU327682 QUQ327676:QUQ327682 REM327676:REM327682 ROI327676:ROI327682 RYE327676:RYE327682 SIA327676:SIA327682 SRW327676:SRW327682 TBS327676:TBS327682 TLO327676:TLO327682 TVK327676:TVK327682 UFG327676:UFG327682 UPC327676:UPC327682 UYY327676:UYY327682 VIU327676:VIU327682 VSQ327676:VSQ327682 WCM327676:WCM327682 WMI327676:WMI327682 WWE327676:WWE327682 JS393212:JS393218 TO393212:TO393218 ADK393212:ADK393218 ANG393212:ANG393218 AXC393212:AXC393218 BGY393212:BGY393218 BQU393212:BQU393218 CAQ393212:CAQ393218 CKM393212:CKM393218 CUI393212:CUI393218 DEE393212:DEE393218 DOA393212:DOA393218 DXW393212:DXW393218 EHS393212:EHS393218 ERO393212:ERO393218 FBK393212:FBK393218 FLG393212:FLG393218 FVC393212:FVC393218 GEY393212:GEY393218 GOU393212:GOU393218 GYQ393212:GYQ393218 HIM393212:HIM393218 HSI393212:HSI393218 ICE393212:ICE393218 IMA393212:IMA393218 IVW393212:IVW393218 JFS393212:JFS393218 JPO393212:JPO393218 JZK393212:JZK393218 KJG393212:KJG393218 KTC393212:KTC393218 LCY393212:LCY393218 LMU393212:LMU393218 LWQ393212:LWQ393218 MGM393212:MGM393218 MQI393212:MQI393218 NAE393212:NAE393218 NKA393212:NKA393218 NTW393212:NTW393218 ODS393212:ODS393218 ONO393212:ONO393218 OXK393212:OXK393218 PHG393212:PHG393218 PRC393212:PRC393218 QAY393212:QAY393218 QKU393212:QKU393218 QUQ393212:QUQ393218 REM393212:REM393218 ROI393212:ROI393218 RYE393212:RYE393218 SIA393212:SIA393218 SRW393212:SRW393218 TBS393212:TBS393218 TLO393212:TLO393218 TVK393212:TVK393218 UFG393212:UFG393218 UPC393212:UPC393218 UYY393212:UYY393218 VIU393212:VIU393218 VSQ393212:VSQ393218 WCM393212:WCM393218 WMI393212:WMI393218 WWE393212:WWE393218 JS458748:JS458754 TO458748:TO458754 ADK458748:ADK458754 ANG458748:ANG458754 AXC458748:AXC458754 BGY458748:BGY458754 BQU458748:BQU458754 CAQ458748:CAQ458754 CKM458748:CKM458754 CUI458748:CUI458754 DEE458748:DEE458754 DOA458748:DOA458754 DXW458748:DXW458754 EHS458748:EHS458754 ERO458748:ERO458754 FBK458748:FBK458754 FLG458748:FLG458754 FVC458748:FVC458754 GEY458748:GEY458754 GOU458748:GOU458754 GYQ458748:GYQ458754 HIM458748:HIM458754 HSI458748:HSI458754 ICE458748:ICE458754 IMA458748:IMA458754 IVW458748:IVW458754 JFS458748:JFS458754 JPO458748:JPO458754 JZK458748:JZK458754 KJG458748:KJG458754 KTC458748:KTC458754 LCY458748:LCY458754 LMU458748:LMU458754 LWQ458748:LWQ458754 MGM458748:MGM458754 MQI458748:MQI458754 NAE458748:NAE458754 NKA458748:NKA458754 NTW458748:NTW458754 ODS458748:ODS458754 ONO458748:ONO458754 OXK458748:OXK458754 PHG458748:PHG458754 PRC458748:PRC458754 QAY458748:QAY458754 QKU458748:QKU458754 QUQ458748:QUQ458754 REM458748:REM458754 ROI458748:ROI458754 RYE458748:RYE458754 SIA458748:SIA458754 SRW458748:SRW458754 TBS458748:TBS458754 TLO458748:TLO458754 TVK458748:TVK458754 UFG458748:UFG458754 UPC458748:UPC458754 UYY458748:UYY458754 VIU458748:VIU458754 VSQ458748:VSQ458754 WCM458748:WCM458754 WMI458748:WMI458754 WWE458748:WWE458754 JS524284:JS524290 TO524284:TO524290 ADK524284:ADK524290 ANG524284:ANG524290 AXC524284:AXC524290 BGY524284:BGY524290 BQU524284:BQU524290 CAQ524284:CAQ524290 CKM524284:CKM524290 CUI524284:CUI524290 DEE524284:DEE524290 DOA524284:DOA524290 DXW524284:DXW524290 EHS524284:EHS524290 ERO524284:ERO524290 FBK524284:FBK524290 FLG524284:FLG524290 FVC524284:FVC524290 GEY524284:GEY524290 GOU524284:GOU524290 GYQ524284:GYQ524290 HIM524284:HIM524290 HSI524284:HSI524290 ICE524284:ICE524290 IMA524284:IMA524290 IVW524284:IVW524290 JFS524284:JFS524290 JPO524284:JPO524290 JZK524284:JZK524290 KJG524284:KJG524290 KTC524284:KTC524290 LCY524284:LCY524290 LMU524284:LMU524290 LWQ524284:LWQ524290 MGM524284:MGM524290 MQI524284:MQI524290 NAE524284:NAE524290 NKA524284:NKA524290 NTW524284:NTW524290 ODS524284:ODS524290 ONO524284:ONO524290 OXK524284:OXK524290 PHG524284:PHG524290 PRC524284:PRC524290 QAY524284:QAY524290 QKU524284:QKU524290 QUQ524284:QUQ524290 REM524284:REM524290 ROI524284:ROI524290 RYE524284:RYE524290 SIA524284:SIA524290 SRW524284:SRW524290 TBS524284:TBS524290 TLO524284:TLO524290 TVK524284:TVK524290 UFG524284:UFG524290 UPC524284:UPC524290 UYY524284:UYY524290 VIU524284:VIU524290 VSQ524284:VSQ524290 WCM524284:WCM524290 WMI524284:WMI524290 WWE524284:WWE524290 JS589820:JS589826 TO589820:TO589826 ADK589820:ADK589826 ANG589820:ANG589826 AXC589820:AXC589826 BGY589820:BGY589826 BQU589820:BQU589826 CAQ589820:CAQ589826 CKM589820:CKM589826 CUI589820:CUI589826 DEE589820:DEE589826 DOA589820:DOA589826 DXW589820:DXW589826 EHS589820:EHS589826 ERO589820:ERO589826 FBK589820:FBK589826 FLG589820:FLG589826 FVC589820:FVC589826 GEY589820:GEY589826 GOU589820:GOU589826 GYQ589820:GYQ589826 HIM589820:HIM589826 HSI589820:HSI589826 ICE589820:ICE589826 IMA589820:IMA589826 IVW589820:IVW589826 JFS589820:JFS589826 JPO589820:JPO589826 JZK589820:JZK589826 KJG589820:KJG589826 KTC589820:KTC589826 LCY589820:LCY589826 LMU589820:LMU589826 LWQ589820:LWQ589826 MGM589820:MGM589826 MQI589820:MQI589826 NAE589820:NAE589826 NKA589820:NKA589826 NTW589820:NTW589826 ODS589820:ODS589826 ONO589820:ONO589826 OXK589820:OXK589826 PHG589820:PHG589826 PRC589820:PRC589826 QAY589820:QAY589826 QKU589820:QKU589826 QUQ589820:QUQ589826 REM589820:REM589826 ROI589820:ROI589826 RYE589820:RYE589826 SIA589820:SIA589826 SRW589820:SRW589826 TBS589820:TBS589826 TLO589820:TLO589826 TVK589820:TVK589826 UFG589820:UFG589826 UPC589820:UPC589826 UYY589820:UYY589826 VIU589820:VIU589826 VSQ589820:VSQ589826 WCM589820:WCM589826 WMI589820:WMI589826 WWE589820:WWE589826 JS655356:JS655362 TO655356:TO655362 ADK655356:ADK655362 ANG655356:ANG655362 AXC655356:AXC655362 BGY655356:BGY655362 BQU655356:BQU655362 CAQ655356:CAQ655362 CKM655356:CKM655362 CUI655356:CUI655362 DEE655356:DEE655362 DOA655356:DOA655362 DXW655356:DXW655362 EHS655356:EHS655362 ERO655356:ERO655362 FBK655356:FBK655362 FLG655356:FLG655362 FVC655356:FVC655362 GEY655356:GEY655362 GOU655356:GOU655362 GYQ655356:GYQ655362 HIM655356:HIM655362 HSI655356:HSI655362 ICE655356:ICE655362 IMA655356:IMA655362 IVW655356:IVW655362 JFS655356:JFS655362 JPO655356:JPO655362 JZK655356:JZK655362 KJG655356:KJG655362 KTC655356:KTC655362 LCY655356:LCY655362 LMU655356:LMU655362 LWQ655356:LWQ655362 MGM655356:MGM655362 MQI655356:MQI655362 NAE655356:NAE655362 NKA655356:NKA655362 NTW655356:NTW655362 ODS655356:ODS655362 ONO655356:ONO655362 OXK655356:OXK655362 PHG655356:PHG655362 PRC655356:PRC655362 QAY655356:QAY655362 QKU655356:QKU655362 QUQ655356:QUQ655362 REM655356:REM655362 ROI655356:ROI655362 RYE655356:RYE655362 SIA655356:SIA655362 SRW655356:SRW655362 TBS655356:TBS655362 TLO655356:TLO655362 TVK655356:TVK655362 UFG655356:UFG655362 UPC655356:UPC655362 UYY655356:UYY655362 VIU655356:VIU655362 VSQ655356:VSQ655362 WCM655356:WCM655362 WMI655356:WMI655362 WWE655356:WWE655362 JS720892:JS720898 TO720892:TO720898 ADK720892:ADK720898 ANG720892:ANG720898 AXC720892:AXC720898 BGY720892:BGY720898 BQU720892:BQU720898 CAQ720892:CAQ720898 CKM720892:CKM720898 CUI720892:CUI720898 DEE720892:DEE720898 DOA720892:DOA720898 DXW720892:DXW720898 EHS720892:EHS720898 ERO720892:ERO720898 FBK720892:FBK720898 FLG720892:FLG720898 FVC720892:FVC720898 GEY720892:GEY720898 GOU720892:GOU720898 GYQ720892:GYQ720898 HIM720892:HIM720898 HSI720892:HSI720898 ICE720892:ICE720898 IMA720892:IMA720898 IVW720892:IVW720898 JFS720892:JFS720898 JPO720892:JPO720898 JZK720892:JZK720898 KJG720892:KJG720898 KTC720892:KTC720898 LCY720892:LCY720898 LMU720892:LMU720898 LWQ720892:LWQ720898 MGM720892:MGM720898 MQI720892:MQI720898 NAE720892:NAE720898 NKA720892:NKA720898 NTW720892:NTW720898 ODS720892:ODS720898 ONO720892:ONO720898 OXK720892:OXK720898 PHG720892:PHG720898 PRC720892:PRC720898 QAY720892:QAY720898 QKU720892:QKU720898 QUQ720892:QUQ720898 REM720892:REM720898 ROI720892:ROI720898 RYE720892:RYE720898 SIA720892:SIA720898 SRW720892:SRW720898 TBS720892:TBS720898 TLO720892:TLO720898 TVK720892:TVK720898 UFG720892:UFG720898 UPC720892:UPC720898 UYY720892:UYY720898 VIU720892:VIU720898 VSQ720892:VSQ720898 WCM720892:WCM720898 WMI720892:WMI720898 WWE720892:WWE720898 JS786428:JS786434 TO786428:TO786434 ADK786428:ADK786434 ANG786428:ANG786434 AXC786428:AXC786434 BGY786428:BGY786434 BQU786428:BQU786434 CAQ786428:CAQ786434 CKM786428:CKM786434 CUI786428:CUI786434 DEE786428:DEE786434 DOA786428:DOA786434 DXW786428:DXW786434 EHS786428:EHS786434 ERO786428:ERO786434 FBK786428:FBK786434 FLG786428:FLG786434 FVC786428:FVC786434 GEY786428:GEY786434 GOU786428:GOU786434 GYQ786428:GYQ786434 HIM786428:HIM786434 HSI786428:HSI786434 ICE786428:ICE786434 IMA786428:IMA786434 IVW786428:IVW786434 JFS786428:JFS786434 JPO786428:JPO786434 JZK786428:JZK786434 KJG786428:KJG786434 KTC786428:KTC786434 LCY786428:LCY786434 LMU786428:LMU786434 LWQ786428:LWQ786434 MGM786428:MGM786434 MQI786428:MQI786434 NAE786428:NAE786434 NKA786428:NKA786434 NTW786428:NTW786434 ODS786428:ODS786434 ONO786428:ONO786434 OXK786428:OXK786434 PHG786428:PHG786434 PRC786428:PRC786434 QAY786428:QAY786434 QKU786428:QKU786434 QUQ786428:QUQ786434 REM786428:REM786434 ROI786428:ROI786434 RYE786428:RYE786434 SIA786428:SIA786434 SRW786428:SRW786434 TBS786428:TBS786434 TLO786428:TLO786434 TVK786428:TVK786434 UFG786428:UFG786434 UPC786428:UPC786434 UYY786428:UYY786434 VIU786428:VIU786434 VSQ786428:VSQ786434 WCM786428:WCM786434 WMI786428:WMI786434 WWE786428:WWE786434 JS851964:JS851970 TO851964:TO851970 ADK851964:ADK851970 ANG851964:ANG851970 AXC851964:AXC851970 BGY851964:BGY851970 BQU851964:BQU851970 CAQ851964:CAQ851970 CKM851964:CKM851970 CUI851964:CUI851970 DEE851964:DEE851970 DOA851964:DOA851970 DXW851964:DXW851970 EHS851964:EHS851970 ERO851964:ERO851970 FBK851964:FBK851970 FLG851964:FLG851970 FVC851964:FVC851970 GEY851964:GEY851970 GOU851964:GOU851970 GYQ851964:GYQ851970 HIM851964:HIM851970 HSI851964:HSI851970 ICE851964:ICE851970 IMA851964:IMA851970 IVW851964:IVW851970 JFS851964:JFS851970 JPO851964:JPO851970 JZK851964:JZK851970 KJG851964:KJG851970 KTC851964:KTC851970 LCY851964:LCY851970 LMU851964:LMU851970 LWQ851964:LWQ851970 MGM851964:MGM851970 MQI851964:MQI851970 NAE851964:NAE851970 NKA851964:NKA851970 NTW851964:NTW851970 ODS851964:ODS851970 ONO851964:ONO851970 OXK851964:OXK851970 PHG851964:PHG851970 PRC851964:PRC851970 QAY851964:QAY851970 QKU851964:QKU851970 QUQ851964:QUQ851970 REM851964:REM851970 ROI851964:ROI851970 RYE851964:RYE851970 SIA851964:SIA851970 SRW851964:SRW851970 TBS851964:TBS851970 TLO851964:TLO851970 TVK851964:TVK851970 UFG851964:UFG851970 UPC851964:UPC851970 UYY851964:UYY851970 VIU851964:VIU851970 VSQ851964:VSQ851970 WCM851964:WCM851970 WMI851964:WMI851970 WWE851964:WWE851970 JS917500:JS917506 TO917500:TO917506 ADK917500:ADK917506 ANG917500:ANG917506 AXC917500:AXC917506 BGY917500:BGY917506 BQU917500:BQU917506 CAQ917500:CAQ917506 CKM917500:CKM917506 CUI917500:CUI917506 DEE917500:DEE917506 DOA917500:DOA917506 DXW917500:DXW917506 EHS917500:EHS917506 ERO917500:ERO917506 FBK917500:FBK917506 FLG917500:FLG917506 FVC917500:FVC917506 GEY917500:GEY917506 GOU917500:GOU917506 GYQ917500:GYQ917506 HIM917500:HIM917506 HSI917500:HSI917506 ICE917500:ICE917506 IMA917500:IMA917506 IVW917500:IVW917506 JFS917500:JFS917506 JPO917500:JPO917506 JZK917500:JZK917506 KJG917500:KJG917506 KTC917500:KTC917506 LCY917500:LCY917506 LMU917500:LMU917506 LWQ917500:LWQ917506 MGM917500:MGM917506 MQI917500:MQI917506 NAE917500:NAE917506 NKA917500:NKA917506 NTW917500:NTW917506 ODS917500:ODS917506 ONO917500:ONO917506 OXK917500:OXK917506 PHG917500:PHG917506 PRC917500:PRC917506 QAY917500:QAY917506 QKU917500:QKU917506 QUQ917500:QUQ917506 REM917500:REM917506 ROI917500:ROI917506 RYE917500:RYE917506 SIA917500:SIA917506 SRW917500:SRW917506 TBS917500:TBS917506 TLO917500:TLO917506 TVK917500:TVK917506 UFG917500:UFG917506 UPC917500:UPC917506 UYY917500:UYY917506 VIU917500:VIU917506 VSQ917500:VSQ917506 WCM917500:WCM917506 WMI917500:WMI917506 WWE917500:WWE917506 JS983036:JS983042 TO983036:TO983042 ADK983036:ADK983042 ANG983036:ANG983042 AXC983036:AXC983042 BGY983036:BGY983042 BQU983036:BQU983042 CAQ983036:CAQ983042 CKM983036:CKM983042 CUI983036:CUI983042 DEE983036:DEE983042 DOA983036:DOA983042 DXW983036:DXW983042 EHS983036:EHS983042 ERO983036:ERO983042 FBK983036:FBK983042 FLG983036:FLG983042 FVC983036:FVC983042 GEY983036:GEY983042 GOU983036:GOU983042 GYQ983036:GYQ983042 HIM983036:HIM983042 HSI983036:HSI983042 ICE983036:ICE983042 IMA983036:IMA983042 IVW983036:IVW983042 JFS983036:JFS983042 JPO983036:JPO983042 JZK983036:JZK983042 KJG983036:KJG983042 KTC983036:KTC983042 LCY983036:LCY983042 LMU983036:LMU983042 LWQ983036:LWQ983042 MGM983036:MGM983042 MQI983036:MQI983042 NAE983036:NAE983042 NKA983036:NKA983042 NTW983036:NTW983042 ODS983036:ODS983042 ONO983036:ONO983042 OXK983036:OXK983042 PHG983036:PHG983042 PRC983036:PRC983042 QAY983036:QAY983042 QKU983036:QKU983042 QUQ983036:QUQ983042 REM983036:REM983042 ROI983036:ROI983042 RYE983036:RYE983042 SIA983036:SIA983042 SRW983036:SRW983042 TBS983036:TBS983042 TLO983036:TLO983042 TVK983036:TVK983042 UFG983036:UFG983042 UPC983036:UPC983042 UYY983036:UYY983042 VIU983036:VIU983042 VSQ983036:VSQ983042 WCM983036:WCM983042 WMI983036:WMI983042 WWP983036:WWP983042 WMT983036:WMT983042 WCX983036:WCX983042 VTB983036:VTB983042 VJF983036:VJF983042 UZJ983036:UZJ983042 UPN983036:UPN983042 UFR983036:UFR983042 TVV983036:TVV983042 TLZ983036:TLZ983042 TCD983036:TCD983042 SSH983036:SSH983042 SIL983036:SIL983042 RYP983036:RYP983042 ROT983036:ROT983042 REX983036:REX983042 QVB983036:QVB983042 QLF983036:QLF983042 QBJ983036:QBJ983042 PRN983036:PRN983042 PHR983036:PHR983042 OXV983036:OXV983042 ONZ983036:ONZ983042 OED983036:OED983042 NUH983036:NUH983042 NKL983036:NKL983042 NAP983036:NAP983042 MQT983036:MQT983042 MGX983036:MGX983042 LXB983036:LXB983042 LNF983036:LNF983042 LDJ983036:LDJ983042 KTN983036:KTN983042 KJR983036:KJR983042 JZV983036:JZV983042 JPZ983036:JPZ983042 JGD983036:JGD983042 IWH983036:IWH983042 IML983036:IML983042 ICP983036:ICP983042 HST983036:HST983042 HIX983036:HIX983042 GZB983036:GZB983042 GPF983036:GPF983042 GFJ983036:GFJ983042 FVN983036:FVN983042 FLR983036:FLR983042 FBV983036:FBV983042 ERZ983036:ERZ983042 EID983036:EID983042 DYH983036:DYH983042 DOL983036:DOL983042 DEP983036:DEP983042 CUT983036:CUT983042 CKX983036:CKX983042 CBB983036:CBB983042 BRF983036:BRF983042 BHJ983036:BHJ983042 AXN983036:AXN983042 ANR983036:ANR983042 ADV983036:ADV983042 TZ983036:TZ983042 KD983036:KD983042 WWP917500:WWP917506 WMT917500:WMT917506 WCX917500:WCX917506 VTB917500:VTB917506 VJF917500:VJF917506 UZJ917500:UZJ917506 UPN917500:UPN917506 UFR917500:UFR917506 TVV917500:TVV917506 TLZ917500:TLZ917506 TCD917500:TCD917506 SSH917500:SSH917506 SIL917500:SIL917506 RYP917500:RYP917506 ROT917500:ROT917506 REX917500:REX917506 QVB917500:QVB917506 QLF917500:QLF917506 QBJ917500:QBJ917506 PRN917500:PRN917506 PHR917500:PHR917506 OXV917500:OXV917506 ONZ917500:ONZ917506 OED917500:OED917506 NUH917500:NUH917506 NKL917500:NKL917506 NAP917500:NAP917506 MQT917500:MQT917506 MGX917500:MGX917506 LXB917500:LXB917506 LNF917500:LNF917506 LDJ917500:LDJ917506 KTN917500:KTN917506 KJR917500:KJR917506 JZV917500:JZV917506 JPZ917500:JPZ917506 JGD917500:JGD917506 IWH917500:IWH917506 IML917500:IML917506 ICP917500:ICP917506 HST917500:HST917506 HIX917500:HIX917506 GZB917500:GZB917506 GPF917500:GPF917506 GFJ917500:GFJ917506 FVN917500:FVN917506 FLR917500:FLR917506 FBV917500:FBV917506 ERZ917500:ERZ917506 EID917500:EID917506 DYH917500:DYH917506 DOL917500:DOL917506 DEP917500:DEP917506 CUT917500:CUT917506 CKX917500:CKX917506 CBB917500:CBB917506 BRF917500:BRF917506 BHJ917500:BHJ917506 AXN917500:AXN917506 ANR917500:ANR917506 ADV917500:ADV917506 TZ917500:TZ917506 KD917500:KD917506 WWP851964:WWP851970 WMT851964:WMT851970 WCX851964:WCX851970 VTB851964:VTB851970 VJF851964:VJF851970 UZJ851964:UZJ851970 UPN851964:UPN851970 UFR851964:UFR851970 TVV851964:TVV851970 TLZ851964:TLZ851970 TCD851964:TCD851970 SSH851964:SSH851970 SIL851964:SIL851970 RYP851964:RYP851970 ROT851964:ROT851970 REX851964:REX851970 QVB851964:QVB851970 QLF851964:QLF851970 QBJ851964:QBJ851970 PRN851964:PRN851970 PHR851964:PHR851970 OXV851964:OXV851970 ONZ851964:ONZ851970 OED851964:OED851970 NUH851964:NUH851970 NKL851964:NKL851970 NAP851964:NAP851970 MQT851964:MQT851970 MGX851964:MGX851970 LXB851964:LXB851970 LNF851964:LNF851970 LDJ851964:LDJ851970 KTN851964:KTN851970 KJR851964:KJR851970 JZV851964:JZV851970 JPZ851964:JPZ851970 JGD851964:JGD851970 IWH851964:IWH851970 IML851964:IML851970 ICP851964:ICP851970 HST851964:HST851970 HIX851964:HIX851970 GZB851964:GZB851970 GPF851964:GPF851970 GFJ851964:GFJ851970 FVN851964:FVN851970 FLR851964:FLR851970 FBV851964:FBV851970 ERZ851964:ERZ851970 EID851964:EID851970 DYH851964:DYH851970 DOL851964:DOL851970 DEP851964:DEP851970 CUT851964:CUT851970 CKX851964:CKX851970 CBB851964:CBB851970 BRF851964:BRF851970 BHJ851964:BHJ851970 AXN851964:AXN851970 ANR851964:ANR851970 ADV851964:ADV851970 TZ851964:TZ851970 KD851964:KD851970 WWP786428:WWP786434 WMT786428:WMT786434 WCX786428:WCX786434 VTB786428:VTB786434 VJF786428:VJF786434 UZJ786428:UZJ786434 UPN786428:UPN786434 UFR786428:UFR786434 TVV786428:TVV786434 TLZ786428:TLZ786434 TCD786428:TCD786434 SSH786428:SSH786434 SIL786428:SIL786434 RYP786428:RYP786434 ROT786428:ROT786434 REX786428:REX786434 QVB786428:QVB786434 QLF786428:QLF786434 QBJ786428:QBJ786434 PRN786428:PRN786434 PHR786428:PHR786434 OXV786428:OXV786434 ONZ786428:ONZ786434 OED786428:OED786434 NUH786428:NUH786434 NKL786428:NKL786434 NAP786428:NAP786434 MQT786428:MQT786434 MGX786428:MGX786434 LXB786428:LXB786434 LNF786428:LNF786434 LDJ786428:LDJ786434 KTN786428:KTN786434 KJR786428:KJR786434 JZV786428:JZV786434 JPZ786428:JPZ786434 JGD786428:JGD786434 IWH786428:IWH786434 IML786428:IML786434 ICP786428:ICP786434 HST786428:HST786434 HIX786428:HIX786434 GZB786428:GZB786434 GPF786428:GPF786434 GFJ786428:GFJ786434 FVN786428:FVN786434 FLR786428:FLR786434 FBV786428:FBV786434 ERZ786428:ERZ786434 EID786428:EID786434 DYH786428:DYH786434 DOL786428:DOL786434 DEP786428:DEP786434 CUT786428:CUT786434 CKX786428:CKX786434 CBB786428:CBB786434 BRF786428:BRF786434 BHJ786428:BHJ786434 AXN786428:AXN786434 ANR786428:ANR786434 ADV786428:ADV786434 TZ786428:TZ786434 KD786428:KD786434 WWP720892:WWP720898 WMT720892:WMT720898 WCX720892:WCX720898 VTB720892:VTB720898 VJF720892:VJF720898 UZJ720892:UZJ720898 UPN720892:UPN720898 UFR720892:UFR720898 TVV720892:TVV720898 TLZ720892:TLZ720898 TCD720892:TCD720898 SSH720892:SSH720898 SIL720892:SIL720898 RYP720892:RYP720898 ROT720892:ROT720898 REX720892:REX720898 QVB720892:QVB720898 QLF720892:QLF720898 QBJ720892:QBJ720898 PRN720892:PRN720898 PHR720892:PHR720898 OXV720892:OXV720898 ONZ720892:ONZ720898 OED720892:OED720898 NUH720892:NUH720898 NKL720892:NKL720898 NAP720892:NAP720898 MQT720892:MQT720898 MGX720892:MGX720898 LXB720892:LXB720898 LNF720892:LNF720898 LDJ720892:LDJ720898 KTN720892:KTN720898 KJR720892:KJR720898 JZV720892:JZV720898 JPZ720892:JPZ720898 JGD720892:JGD720898 IWH720892:IWH720898 IML720892:IML720898 ICP720892:ICP720898 HST720892:HST720898 HIX720892:HIX720898 GZB720892:GZB720898 GPF720892:GPF720898 GFJ720892:GFJ720898 FVN720892:FVN720898 FLR720892:FLR720898 FBV720892:FBV720898 ERZ720892:ERZ720898 EID720892:EID720898 DYH720892:DYH720898 DOL720892:DOL720898 DEP720892:DEP720898 CUT720892:CUT720898 CKX720892:CKX720898 CBB720892:CBB720898 BRF720892:BRF720898 BHJ720892:BHJ720898 AXN720892:AXN720898 ANR720892:ANR720898 ADV720892:ADV720898 TZ720892:TZ720898 KD720892:KD720898 WWP655356:WWP655362 WMT655356:WMT655362 WCX655356:WCX655362 VTB655356:VTB655362 VJF655356:VJF655362 UZJ655356:UZJ655362 UPN655356:UPN655362 UFR655356:UFR655362 TVV655356:TVV655362 TLZ655356:TLZ655362 TCD655356:TCD655362 SSH655356:SSH655362 SIL655356:SIL655362 RYP655356:RYP655362 ROT655356:ROT655362 REX655356:REX655362 QVB655356:QVB655362 QLF655356:QLF655362 QBJ655356:QBJ655362 PRN655356:PRN655362 PHR655356:PHR655362 OXV655356:OXV655362 ONZ655356:ONZ655362 OED655356:OED655362 NUH655356:NUH655362 NKL655356:NKL655362 NAP655356:NAP655362 MQT655356:MQT655362 MGX655356:MGX655362 LXB655356:LXB655362 LNF655356:LNF655362 LDJ655356:LDJ655362 KTN655356:KTN655362 KJR655356:KJR655362 JZV655356:JZV655362 JPZ655356:JPZ655362 JGD655356:JGD655362 IWH655356:IWH655362 IML655356:IML655362 ICP655356:ICP655362 HST655356:HST655362 HIX655356:HIX655362 GZB655356:GZB655362 GPF655356:GPF655362 GFJ655356:GFJ655362 FVN655356:FVN655362 FLR655356:FLR655362 FBV655356:FBV655362 ERZ655356:ERZ655362 EID655356:EID655362 DYH655356:DYH655362 DOL655356:DOL655362 DEP655356:DEP655362 CUT655356:CUT655362 CKX655356:CKX655362 CBB655356:CBB655362 BRF655356:BRF655362 BHJ655356:BHJ655362 AXN655356:AXN655362 ANR655356:ANR655362 ADV655356:ADV655362 TZ655356:TZ655362 KD655356:KD655362 WWP589820:WWP589826 WMT589820:WMT589826 WCX589820:WCX589826 VTB589820:VTB589826 VJF589820:VJF589826 UZJ589820:UZJ589826 UPN589820:UPN589826 UFR589820:UFR589826 TVV589820:TVV589826 TLZ589820:TLZ589826 TCD589820:TCD589826 SSH589820:SSH589826 SIL589820:SIL589826 RYP589820:RYP589826 ROT589820:ROT589826 REX589820:REX589826 QVB589820:QVB589826 QLF589820:QLF589826 QBJ589820:QBJ589826 PRN589820:PRN589826 PHR589820:PHR589826 OXV589820:OXV589826 ONZ589820:ONZ589826 OED589820:OED589826 NUH589820:NUH589826 NKL589820:NKL589826 NAP589820:NAP589826 MQT589820:MQT589826 MGX589820:MGX589826 LXB589820:LXB589826 LNF589820:LNF589826 LDJ589820:LDJ589826 KTN589820:KTN589826 KJR589820:KJR589826 JZV589820:JZV589826 JPZ589820:JPZ589826 JGD589820:JGD589826 IWH589820:IWH589826 IML589820:IML589826 ICP589820:ICP589826 HST589820:HST589826 HIX589820:HIX589826 GZB589820:GZB589826 GPF589820:GPF589826 GFJ589820:GFJ589826 FVN589820:FVN589826 FLR589820:FLR589826 FBV589820:FBV589826 ERZ589820:ERZ589826 EID589820:EID589826 DYH589820:DYH589826 DOL589820:DOL589826 DEP589820:DEP589826 CUT589820:CUT589826 CKX589820:CKX589826 CBB589820:CBB589826 BRF589820:BRF589826 BHJ589820:BHJ589826 AXN589820:AXN589826 ANR589820:ANR589826 ADV589820:ADV589826 TZ589820:TZ589826 KD589820:KD589826 WWP524284:WWP524290 WMT524284:WMT524290 WCX524284:WCX524290 VTB524284:VTB524290 VJF524284:VJF524290 UZJ524284:UZJ524290 UPN524284:UPN524290 UFR524284:UFR524290 TVV524284:TVV524290 TLZ524284:TLZ524290 TCD524284:TCD524290 SSH524284:SSH524290 SIL524284:SIL524290 RYP524284:RYP524290 ROT524284:ROT524290 REX524284:REX524290 QVB524284:QVB524290 QLF524284:QLF524290 QBJ524284:QBJ524290 PRN524284:PRN524290 PHR524284:PHR524290 OXV524284:OXV524290 ONZ524284:ONZ524290 OED524284:OED524290 NUH524284:NUH524290 NKL524284:NKL524290 NAP524284:NAP524290 MQT524284:MQT524290 MGX524284:MGX524290 LXB524284:LXB524290 LNF524284:LNF524290 LDJ524284:LDJ524290 KTN524284:KTN524290 KJR524284:KJR524290 JZV524284:JZV524290 JPZ524284:JPZ524290 JGD524284:JGD524290 IWH524284:IWH524290 IML524284:IML524290 ICP524284:ICP524290 HST524284:HST524290 HIX524284:HIX524290 GZB524284:GZB524290 GPF524284:GPF524290 GFJ524284:GFJ524290 FVN524284:FVN524290 FLR524284:FLR524290 FBV524284:FBV524290 ERZ524284:ERZ524290 EID524284:EID524290 DYH524284:DYH524290 DOL524284:DOL524290 DEP524284:DEP524290 CUT524284:CUT524290 CKX524284:CKX524290 CBB524284:CBB524290 BRF524284:BRF524290 BHJ524284:BHJ524290 AXN524284:AXN524290 ANR524284:ANR524290 ADV524284:ADV524290 TZ524284:TZ524290 KD524284:KD524290 WWP458748:WWP458754 WMT458748:WMT458754 WCX458748:WCX458754 VTB458748:VTB458754 VJF458748:VJF458754 UZJ458748:UZJ458754 UPN458748:UPN458754 UFR458748:UFR458754 TVV458748:TVV458754 TLZ458748:TLZ458754 TCD458748:TCD458754 SSH458748:SSH458754 SIL458748:SIL458754 RYP458748:RYP458754 ROT458748:ROT458754 REX458748:REX458754 QVB458748:QVB458754 QLF458748:QLF458754 QBJ458748:QBJ458754 PRN458748:PRN458754 PHR458748:PHR458754 OXV458748:OXV458754 ONZ458748:ONZ458754 OED458748:OED458754 NUH458748:NUH458754 NKL458748:NKL458754 NAP458748:NAP458754 MQT458748:MQT458754 MGX458748:MGX458754 LXB458748:LXB458754 LNF458748:LNF458754 LDJ458748:LDJ458754 KTN458748:KTN458754 KJR458748:KJR458754 JZV458748:JZV458754 JPZ458748:JPZ458754 JGD458748:JGD458754 IWH458748:IWH458754 IML458748:IML458754 ICP458748:ICP458754 HST458748:HST458754 HIX458748:HIX458754 GZB458748:GZB458754 GPF458748:GPF458754 GFJ458748:GFJ458754 FVN458748:FVN458754 FLR458748:FLR458754 FBV458748:FBV458754 ERZ458748:ERZ458754 EID458748:EID458754 DYH458748:DYH458754 DOL458748:DOL458754 DEP458748:DEP458754 CUT458748:CUT458754 CKX458748:CKX458754 CBB458748:CBB458754 BRF458748:BRF458754 BHJ458748:BHJ458754 AXN458748:AXN458754 ANR458748:ANR458754 ADV458748:ADV458754 TZ458748:TZ458754 KD458748:KD458754 WWP393212:WWP393218 WMT393212:WMT393218 WCX393212:WCX393218 VTB393212:VTB393218 VJF393212:VJF393218 UZJ393212:UZJ393218 UPN393212:UPN393218 UFR393212:UFR393218 TVV393212:TVV393218 TLZ393212:TLZ393218 TCD393212:TCD393218 SSH393212:SSH393218 SIL393212:SIL393218 RYP393212:RYP393218 ROT393212:ROT393218 REX393212:REX393218 QVB393212:QVB393218 QLF393212:QLF393218 QBJ393212:QBJ393218 PRN393212:PRN393218 PHR393212:PHR393218 OXV393212:OXV393218 ONZ393212:ONZ393218 OED393212:OED393218 NUH393212:NUH393218 NKL393212:NKL393218 NAP393212:NAP393218 MQT393212:MQT393218 MGX393212:MGX393218 LXB393212:LXB393218 LNF393212:LNF393218 LDJ393212:LDJ393218 KTN393212:KTN393218 KJR393212:KJR393218 JZV393212:JZV393218 JPZ393212:JPZ393218 JGD393212:JGD393218 IWH393212:IWH393218 IML393212:IML393218 ICP393212:ICP393218 HST393212:HST393218 HIX393212:HIX393218 GZB393212:GZB393218 GPF393212:GPF393218 GFJ393212:GFJ393218 FVN393212:FVN393218 FLR393212:FLR393218 FBV393212:FBV393218 ERZ393212:ERZ393218 EID393212:EID393218 DYH393212:DYH393218 DOL393212:DOL393218 DEP393212:DEP393218 CUT393212:CUT393218 CKX393212:CKX393218 CBB393212:CBB393218 BRF393212:BRF393218 BHJ393212:BHJ393218 AXN393212:AXN393218 ANR393212:ANR393218 ADV393212:ADV393218 TZ393212:TZ393218 KD393212:KD393218 WWP327676:WWP327682 WMT327676:WMT327682 WCX327676:WCX327682 VTB327676:VTB327682 VJF327676:VJF327682 UZJ327676:UZJ327682 UPN327676:UPN327682 UFR327676:UFR327682 TVV327676:TVV327682 TLZ327676:TLZ327682 TCD327676:TCD327682 SSH327676:SSH327682 SIL327676:SIL327682 RYP327676:RYP327682 ROT327676:ROT327682 REX327676:REX327682 QVB327676:QVB327682 QLF327676:QLF327682 QBJ327676:QBJ327682 PRN327676:PRN327682 PHR327676:PHR327682 OXV327676:OXV327682 ONZ327676:ONZ327682 OED327676:OED327682 NUH327676:NUH327682 NKL327676:NKL327682 NAP327676:NAP327682 MQT327676:MQT327682 MGX327676:MGX327682 LXB327676:LXB327682 LNF327676:LNF327682 LDJ327676:LDJ327682 KTN327676:KTN327682 KJR327676:KJR327682 JZV327676:JZV327682 JPZ327676:JPZ327682 JGD327676:JGD327682 IWH327676:IWH327682 IML327676:IML327682 ICP327676:ICP327682 HST327676:HST327682 HIX327676:HIX327682 GZB327676:GZB327682 GPF327676:GPF327682 GFJ327676:GFJ327682 FVN327676:FVN327682 FLR327676:FLR327682 FBV327676:FBV327682 ERZ327676:ERZ327682 EID327676:EID327682 DYH327676:DYH327682 DOL327676:DOL327682 DEP327676:DEP327682 CUT327676:CUT327682 CKX327676:CKX327682 CBB327676:CBB327682 BRF327676:BRF327682 BHJ327676:BHJ327682 AXN327676:AXN327682 ANR327676:ANR327682 ADV327676:ADV327682 TZ327676:TZ327682 KD327676:KD327682 WWP262140:WWP262146 WMT262140:WMT262146 WCX262140:WCX262146 VTB262140:VTB262146 VJF262140:VJF262146 UZJ262140:UZJ262146 UPN262140:UPN262146 UFR262140:UFR262146 TVV262140:TVV262146 TLZ262140:TLZ262146 TCD262140:TCD262146 SSH262140:SSH262146 SIL262140:SIL262146 RYP262140:RYP262146 ROT262140:ROT262146 REX262140:REX262146 QVB262140:QVB262146 QLF262140:QLF262146 QBJ262140:QBJ262146 PRN262140:PRN262146 PHR262140:PHR262146 OXV262140:OXV262146 ONZ262140:ONZ262146 OED262140:OED262146 NUH262140:NUH262146 NKL262140:NKL262146 NAP262140:NAP262146 MQT262140:MQT262146 MGX262140:MGX262146 LXB262140:LXB262146 LNF262140:LNF262146 LDJ262140:LDJ262146 KTN262140:KTN262146 KJR262140:KJR262146 JZV262140:JZV262146 JPZ262140:JPZ262146 JGD262140:JGD262146 IWH262140:IWH262146 IML262140:IML262146 ICP262140:ICP262146 HST262140:HST262146 HIX262140:HIX262146 GZB262140:GZB262146 GPF262140:GPF262146 GFJ262140:GFJ262146 FVN262140:FVN262146 FLR262140:FLR262146 FBV262140:FBV262146 ERZ262140:ERZ262146 EID262140:EID262146 DYH262140:DYH262146 DOL262140:DOL262146 DEP262140:DEP262146 CUT262140:CUT262146 CKX262140:CKX262146 CBB262140:CBB262146 BRF262140:BRF262146 BHJ262140:BHJ262146 AXN262140:AXN262146 ANR262140:ANR262146 ADV262140:ADV262146 TZ262140:TZ262146 KD262140:KD262146 WWP196604:WWP196610 WMT196604:WMT196610 WCX196604:WCX196610 VTB196604:VTB196610 VJF196604:VJF196610 UZJ196604:UZJ196610 UPN196604:UPN196610 UFR196604:UFR196610 TVV196604:TVV196610 TLZ196604:TLZ196610 TCD196604:TCD196610 SSH196604:SSH196610 SIL196604:SIL196610 RYP196604:RYP196610 ROT196604:ROT196610 REX196604:REX196610 QVB196604:QVB196610 QLF196604:QLF196610 QBJ196604:QBJ196610 PRN196604:PRN196610 PHR196604:PHR196610 OXV196604:OXV196610 ONZ196604:ONZ196610 OED196604:OED196610 NUH196604:NUH196610 NKL196604:NKL196610 NAP196604:NAP196610 MQT196604:MQT196610 MGX196604:MGX196610 LXB196604:LXB196610 LNF196604:LNF196610 LDJ196604:LDJ196610 KTN196604:KTN196610 KJR196604:KJR196610 JZV196604:JZV196610 JPZ196604:JPZ196610 JGD196604:JGD196610 IWH196604:IWH196610 IML196604:IML196610 ICP196604:ICP196610 HST196604:HST196610 HIX196604:HIX196610 GZB196604:GZB196610 GPF196604:GPF196610 GFJ196604:GFJ196610 FVN196604:FVN196610 FLR196604:FLR196610 FBV196604:FBV196610 ERZ196604:ERZ196610 EID196604:EID196610 DYH196604:DYH196610 DOL196604:DOL196610 DEP196604:DEP196610 CUT196604:CUT196610 CKX196604:CKX196610 CBB196604:CBB196610 BRF196604:BRF196610 BHJ196604:BHJ196610 AXN196604:AXN196610 ANR196604:ANR196610 ADV196604:ADV196610 TZ196604:TZ196610 KD196604:KD196610 WWP131068:WWP131074 WMT131068:WMT131074 WCX131068:WCX131074 VTB131068:VTB131074 VJF131068:VJF131074 UZJ131068:UZJ131074 UPN131068:UPN131074 UFR131068:UFR131074 TVV131068:TVV131074 TLZ131068:TLZ131074 TCD131068:TCD131074 SSH131068:SSH131074 SIL131068:SIL131074 RYP131068:RYP131074 ROT131068:ROT131074 REX131068:REX131074 QVB131068:QVB131074 QLF131068:QLF131074 QBJ131068:QBJ131074 PRN131068:PRN131074 PHR131068:PHR131074 OXV131068:OXV131074 ONZ131068:ONZ131074 OED131068:OED131074 NUH131068:NUH131074 NKL131068:NKL131074 NAP131068:NAP131074 MQT131068:MQT131074 MGX131068:MGX131074 LXB131068:LXB131074 LNF131068:LNF131074 LDJ131068:LDJ131074 KTN131068:KTN131074 KJR131068:KJR131074 JZV131068:JZV131074 JPZ131068:JPZ131074 JGD131068:JGD131074 IWH131068:IWH131074 IML131068:IML131074 ICP131068:ICP131074 HST131068:HST131074 HIX131068:HIX131074 GZB131068:GZB131074 GPF131068:GPF131074 GFJ131068:GFJ131074 FVN131068:FVN131074 FLR131068:FLR131074 FBV131068:FBV131074 ERZ131068:ERZ131074 EID131068:EID131074 DYH131068:DYH131074 DOL131068:DOL131074 DEP131068:DEP131074 CUT131068:CUT131074 CKX131068:CKX131074 CBB131068:CBB131074 BRF131068:BRF131074 BHJ131068:BHJ131074 AXN131068:AXN131074 ANR131068:ANR131074 ADV131068:ADV131074 TZ131068:TZ131074 KD131068:KD131074 WWP65532:WWP65538 WMT65532:WMT65538 WCX65532:WCX65538 VTB65532:VTB65538 VJF65532:VJF65538 UZJ65532:UZJ65538 UPN65532:UPN65538 UFR65532:UFR65538 TVV65532:TVV65538 TLZ65532:TLZ65538 TCD65532:TCD65538 SSH65532:SSH65538 SIL65532:SIL65538 RYP65532:RYP65538 ROT65532:ROT65538 REX65532:REX65538 QVB65532:QVB65538 QLF65532:QLF65538 QBJ65532:QBJ65538 PRN65532:PRN65538 PHR65532:PHR65538 OXV65532:OXV65538 ONZ65532:ONZ65538 OED65532:OED65538 NUH65532:NUH65538 NKL65532:NKL65538 NAP65532:NAP65538 MQT65532:MQT65538 MGX65532:MGX65538 LXB65532:LXB65538 LNF65532:LNF65538 LDJ65532:LDJ65538 KTN65532:KTN65538 KJR65532:KJR65538 JZV65532:JZV65538 JPZ65532:JPZ65538 JGD65532:JGD65538 IWH65532:IWH65538 IML65532:IML65538 ICP65532:ICP65538 HST65532:HST65538 HIX65532:HIX65538 GZB65532:GZB65538 GPF65532:GPF65538 GFJ65532:GFJ65538 FVN65532:FVN65538 FLR65532:FLR65538 FBV65532:FBV65538 ERZ65532:ERZ65538 EID65532:EID65538 DYH65532:DYH65538 DOL65532:DOL65538 DEP65532:DEP65538 CUT65532:CUT65538 CKX65532:CKX65538 CBB65532:CBB65538 BRF65532:BRF65538 BHJ65532:BHJ65538 AXN65532:AXN65538 ANR65532:ANR65538 ADV65532:ADV65538 TZ65532:TZ65538 KD65532:KD65538" xr:uid="{00000000-0002-0000-0800-000000000000}">
      <formula1>#REF!</formula1>
    </dataValidation>
  </dataValidations>
  <printOptions horizontalCentered="1"/>
  <pageMargins left="0.51181102362204722" right="0.51181102362204722" top="0.98425196850393704" bottom="0.78740157480314965" header="0.31496062992125984" footer="0.31496062992125984"/>
  <pageSetup paperSize="8" scale="41" fitToHeight="0" orientation="landscape" r:id="rId1"/>
  <headerFooter>
    <oddHeader>&amp;L&amp;G&amp;R&amp;G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27</vt:i4>
      </vt:variant>
    </vt:vector>
  </HeadingPairs>
  <TitlesOfParts>
    <vt:vector size="45" baseType="lpstr">
      <vt:lpstr>RESUMO DES</vt:lpstr>
      <vt:lpstr>RESUMO ND</vt:lpstr>
      <vt:lpstr>ORÇ. SINTÉTICO</vt:lpstr>
      <vt:lpstr>CPU</vt:lpstr>
      <vt:lpstr>CFF</vt:lpstr>
      <vt:lpstr>DMT</vt:lpstr>
      <vt:lpstr>PRELIMINARES</vt:lpstr>
      <vt:lpstr>DRENAGEM LOTEAMENTO</vt:lpstr>
      <vt:lpstr>PAVIMENTAÇÃO LOTEAMENTO</vt:lpstr>
      <vt:lpstr>REMENDO LOTEAMENTO</vt:lpstr>
      <vt:lpstr>CALÇADA LOTEAMENTO</vt:lpstr>
      <vt:lpstr>SINALIZAÇÃO LOTEAMENTO</vt:lpstr>
      <vt:lpstr>DRENAGEM ACESSO</vt:lpstr>
      <vt:lpstr>BACIA DETENÇÃO ACESSO</vt:lpstr>
      <vt:lpstr>PAVIMENTAÇÃO ACESSO</vt:lpstr>
      <vt:lpstr>DEMOLIÇÃO ACESSO</vt:lpstr>
      <vt:lpstr>SINALIZAÇÃO ACESSO</vt:lpstr>
      <vt:lpstr>COORD. PV</vt:lpstr>
      <vt:lpstr>'BACIA DETENÇÃO ACESSO'!Area_de_impressao</vt:lpstr>
      <vt:lpstr>'CALÇADA LOTEAMENTO'!Area_de_impressao</vt:lpstr>
      <vt:lpstr>CFF!Area_de_impressao</vt:lpstr>
      <vt:lpstr>CPU!Area_de_impressao</vt:lpstr>
      <vt:lpstr>'DEMOLIÇÃO ACESSO'!Area_de_impressao</vt:lpstr>
      <vt:lpstr>DMT!Area_de_impressao</vt:lpstr>
      <vt:lpstr>'DRENAGEM ACESSO'!Area_de_impressao</vt:lpstr>
      <vt:lpstr>'DRENAGEM LOTEAMENTO'!Area_de_impressao</vt:lpstr>
      <vt:lpstr>'ORÇ. SINTÉTICO'!Area_de_impressao</vt:lpstr>
      <vt:lpstr>'PAVIMENTAÇÃO ACESSO'!Area_de_impressao</vt:lpstr>
      <vt:lpstr>'PAVIMENTAÇÃO LOTEAMENTO'!Area_de_impressao</vt:lpstr>
      <vt:lpstr>PRELIMINARES!Area_de_impressao</vt:lpstr>
      <vt:lpstr>'RESUMO DES'!Area_de_impressao</vt:lpstr>
      <vt:lpstr>'RESUMO ND'!Area_de_impressao</vt:lpstr>
      <vt:lpstr>'SINALIZAÇÃO ACESSO'!Area_de_impressao</vt:lpstr>
      <vt:lpstr>'SINALIZAÇÃO LOTEAMENTO'!Area_de_impressao</vt:lpstr>
      <vt:lpstr>DMT_BF</vt:lpstr>
      <vt:lpstr>DMT_BRITA</vt:lpstr>
      <vt:lpstr>DMT_CBUQ</vt:lpstr>
      <vt:lpstr>DMT_EAI</vt:lpstr>
      <vt:lpstr>DMT_EMPRÉSTIMO</vt:lpstr>
      <vt:lpstr>DMT_JAZIDA</vt:lpstr>
      <vt:lpstr>DMT_PISO_TÁTIL</vt:lpstr>
      <vt:lpstr>DMT_RR_2C</vt:lpstr>
      <vt:lpstr>DMT_TUBOS_GRAMAS</vt:lpstr>
      <vt:lpstr>CPU!Titulos_de_impressao</vt:lpstr>
      <vt:lpstr>'ORÇ. SINTÉTICO'!Titulos_de_impressao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Guinevere Marques</cp:lastModifiedBy>
  <cp:lastPrinted>2024-05-07T13:23:00Z</cp:lastPrinted>
  <dcterms:created xsi:type="dcterms:W3CDTF">2019-05-27T20:12:35Z</dcterms:created>
  <dcterms:modified xsi:type="dcterms:W3CDTF">2024-05-07T13:54:20Z</dcterms:modified>
</cp:coreProperties>
</file>